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telmo\Desktop\Planilhas\PLANILHAS\Empresariais\Contábil\Analise de Balanços\"/>
    </mc:Choice>
  </mc:AlternateContent>
  <xr:revisionPtr revIDLastSave="0" documentId="13_ncr:1_{91A354F2-9D6A-4022-A14F-C96F7668D49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Cálculos Indicadores" sheetId="3" r:id="rId1"/>
    <sheet name="Balanço Patrimonial" sheetId="1" r:id="rId2"/>
    <sheet name="DRE" sheetId="5" r:id="rId3"/>
    <sheet name="Dados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AM20" i="3" s="1"/>
  <c r="J19" i="2"/>
  <c r="AN20" i="3" s="1"/>
  <c r="H19" i="2"/>
  <c r="AL20" i="3" s="1"/>
  <c r="I9" i="2"/>
  <c r="AM10" i="3" s="1"/>
  <c r="I5" i="2"/>
  <c r="AM6" i="3" s="1"/>
  <c r="J5" i="2"/>
  <c r="AN6" i="3" s="1"/>
  <c r="H5" i="2"/>
  <c r="AL6" i="3" s="1"/>
  <c r="D17" i="2"/>
  <c r="AH18" i="3" s="1"/>
  <c r="E15" i="2"/>
  <c r="AI16" i="3" s="1"/>
  <c r="C13" i="2"/>
  <c r="AG14" i="3" s="1"/>
  <c r="D9" i="2"/>
  <c r="AH10" i="3" s="1"/>
  <c r="E9" i="2"/>
  <c r="AI10" i="3" s="1"/>
  <c r="C9" i="2"/>
  <c r="AG10" i="3" s="1"/>
  <c r="C5" i="2"/>
  <c r="AG6" i="3" s="1"/>
  <c r="E34" i="5"/>
  <c r="D34" i="5"/>
  <c r="C34" i="5"/>
  <c r="E30" i="5"/>
  <c r="D30" i="5"/>
  <c r="C30" i="5"/>
  <c r="E18" i="5"/>
  <c r="D18" i="5"/>
  <c r="C18" i="5"/>
  <c r="E17" i="5"/>
  <c r="C17" i="5"/>
  <c r="E16" i="5"/>
  <c r="E15" i="5" s="1"/>
  <c r="E19" i="2" s="1"/>
  <c r="AI20" i="3" s="1"/>
  <c r="K8" i="3" s="1"/>
  <c r="K13" i="3" s="1"/>
  <c r="D16" i="5"/>
  <c r="C16" i="5"/>
  <c r="E7" i="5"/>
  <c r="D7" i="5"/>
  <c r="C7" i="5"/>
  <c r="E6" i="5"/>
  <c r="D6" i="5"/>
  <c r="C6" i="5"/>
  <c r="C5" i="5" s="1"/>
  <c r="H13" i="2" s="1"/>
  <c r="AL14" i="3" s="1"/>
  <c r="E47" i="1"/>
  <c r="E17" i="2" s="1"/>
  <c r="AI18" i="3" s="1"/>
  <c r="D47" i="1"/>
  <c r="C47" i="1"/>
  <c r="C17" i="2" s="1"/>
  <c r="AG18" i="3" s="1"/>
  <c r="E41" i="1"/>
  <c r="E13" i="2" s="1"/>
  <c r="AI14" i="3" s="1"/>
  <c r="D41" i="1"/>
  <c r="R9" i="1" s="1"/>
  <c r="C41" i="1"/>
  <c r="E35" i="1"/>
  <c r="E49" i="1" s="1"/>
  <c r="D35" i="1"/>
  <c r="D49" i="1" s="1"/>
  <c r="C35" i="1"/>
  <c r="E25" i="1"/>
  <c r="D25" i="1"/>
  <c r="D15" i="2" s="1"/>
  <c r="AH16" i="3" s="1"/>
  <c r="D28" i="3" s="1"/>
  <c r="C25" i="1"/>
  <c r="C15" i="2" s="1"/>
  <c r="AG16" i="3" s="1"/>
  <c r="C28" i="3" s="1"/>
  <c r="E17" i="1"/>
  <c r="E11" i="2" s="1"/>
  <c r="AI12" i="3" s="1"/>
  <c r="D17" i="1"/>
  <c r="D11" i="2" s="1"/>
  <c r="AH12" i="3" s="1"/>
  <c r="C17" i="1"/>
  <c r="C11" i="2" s="1"/>
  <c r="AG12" i="3" s="1"/>
  <c r="E12" i="1"/>
  <c r="E5" i="2" s="1"/>
  <c r="AI6" i="3" s="1"/>
  <c r="D12" i="1"/>
  <c r="C12" i="1"/>
  <c r="V9" i="1"/>
  <c r="U9" i="1"/>
  <c r="T9" i="1"/>
  <c r="O9" i="1"/>
  <c r="E13" i="3" l="1"/>
  <c r="E28" i="3"/>
  <c r="E7" i="2"/>
  <c r="AI8" i="3" s="1"/>
  <c r="W8" i="3" s="1"/>
  <c r="S9" i="1"/>
  <c r="C27" i="1"/>
  <c r="D5" i="5"/>
  <c r="D7" i="2"/>
  <c r="AH8" i="3" s="1"/>
  <c r="D27" i="1"/>
  <c r="K10" i="1" s="1"/>
  <c r="N9" i="1"/>
  <c r="D5" i="2"/>
  <c r="AH6" i="3" s="1"/>
  <c r="D13" i="2"/>
  <c r="AH14" i="3" s="1"/>
  <c r="H9" i="2"/>
  <c r="AL10" i="3" s="1"/>
  <c r="E27" i="1"/>
  <c r="C7" i="2"/>
  <c r="AG8" i="3" s="1"/>
  <c r="U8" i="3" s="1"/>
  <c r="J9" i="2"/>
  <c r="AN10" i="3" s="1"/>
  <c r="K23" i="3" s="1"/>
  <c r="E5" i="5"/>
  <c r="J13" i="2" s="1"/>
  <c r="AN14" i="3" s="1"/>
  <c r="C15" i="5"/>
  <c r="C19" i="2" s="1"/>
  <c r="AG20" i="3" s="1"/>
  <c r="I8" i="3" s="1"/>
  <c r="I13" i="3" s="1"/>
  <c r="D15" i="5"/>
  <c r="D19" i="2" s="1"/>
  <c r="AH20" i="3" s="1"/>
  <c r="J8" i="3" s="1"/>
  <c r="J13" i="3" s="1"/>
  <c r="E10" i="5"/>
  <c r="E11" i="5"/>
  <c r="C10" i="5"/>
  <c r="D11" i="5"/>
  <c r="C11" i="5"/>
  <c r="M6" i="1"/>
  <c r="M8" i="1"/>
  <c r="K12" i="1"/>
  <c r="K16" i="1"/>
  <c r="M14" i="1"/>
  <c r="M12" i="1"/>
  <c r="I10" i="1"/>
  <c r="I8" i="1"/>
  <c r="I6" i="1"/>
  <c r="K8" i="1"/>
  <c r="M10" i="1"/>
  <c r="M16" i="1"/>
  <c r="P9" i="1"/>
  <c r="C49" i="1"/>
  <c r="K6" i="1"/>
  <c r="Q9" i="1"/>
  <c r="K14" i="1"/>
  <c r="D23" i="3" l="1"/>
  <c r="D8" i="3"/>
  <c r="D13" i="3"/>
  <c r="D18" i="3"/>
  <c r="V8" i="3"/>
  <c r="C8" i="3"/>
  <c r="U13" i="3"/>
  <c r="E8" i="3"/>
  <c r="W13" i="3"/>
  <c r="C23" i="3"/>
  <c r="C18" i="3"/>
  <c r="D10" i="5"/>
  <c r="D9" i="5" s="1"/>
  <c r="I13" i="2"/>
  <c r="AM14" i="3" s="1"/>
  <c r="E23" i="3"/>
  <c r="J23" i="3"/>
  <c r="I23" i="3"/>
  <c r="C13" i="3"/>
  <c r="E18" i="3"/>
  <c r="V13" i="3"/>
  <c r="C9" i="5"/>
  <c r="C23" i="5" s="1"/>
  <c r="C22" i="5" s="1"/>
  <c r="E9" i="5"/>
  <c r="I16" i="1"/>
  <c r="I14" i="1"/>
  <c r="I12" i="1"/>
  <c r="D13" i="5" l="1"/>
  <c r="D23" i="5"/>
  <c r="D22" i="5" s="1"/>
  <c r="C13" i="5"/>
  <c r="E23" i="5"/>
  <c r="E22" i="5" s="1"/>
  <c r="E13" i="5"/>
  <c r="C20" i="5" l="1"/>
  <c r="H7" i="2"/>
  <c r="AL8" i="3" s="1"/>
  <c r="I18" i="3" s="1"/>
  <c r="AA8" i="3" s="1"/>
  <c r="AA13" i="3" s="1"/>
  <c r="E20" i="5"/>
  <c r="J11" i="2" s="1"/>
  <c r="AN12" i="3" s="1"/>
  <c r="Q8" i="3" s="1"/>
  <c r="J7" i="2"/>
  <c r="AN8" i="3" s="1"/>
  <c r="K18" i="3" s="1"/>
  <c r="AC8" i="3" s="1"/>
  <c r="AC13" i="3" s="1"/>
  <c r="D20" i="5"/>
  <c r="I7" i="2"/>
  <c r="AM8" i="3" s="1"/>
  <c r="J18" i="3" s="1"/>
  <c r="AB8" i="3" s="1"/>
  <c r="AB13" i="3" s="1"/>
  <c r="E28" i="5"/>
  <c r="J15" i="2" s="1"/>
  <c r="AN16" i="3" s="1"/>
  <c r="W18" i="3" l="1"/>
  <c r="Q13" i="3"/>
  <c r="I11" i="2"/>
  <c r="AM12" i="3" s="1"/>
  <c r="P8" i="3" s="1"/>
  <c r="D28" i="5"/>
  <c r="H11" i="2"/>
  <c r="AL12" i="3" s="1"/>
  <c r="O8" i="3" s="1"/>
  <c r="C28" i="5"/>
  <c r="E38" i="5"/>
  <c r="H15" i="2" l="1"/>
  <c r="AL16" i="3" s="1"/>
  <c r="C38" i="5"/>
  <c r="C40" i="5" s="1"/>
  <c r="C42" i="5" s="1"/>
  <c r="H17" i="2" s="1"/>
  <c r="AL18" i="3" s="1"/>
  <c r="O18" i="3" s="1"/>
  <c r="I15" i="2"/>
  <c r="AM16" i="3" s="1"/>
  <c r="D38" i="5"/>
  <c r="E40" i="5"/>
  <c r="E42" i="5" s="1"/>
  <c r="J17" i="2" s="1"/>
  <c r="AN18" i="3" s="1"/>
  <c r="Q18" i="3" s="1"/>
  <c r="D40" i="5" l="1"/>
  <c r="D42" i="5" s="1"/>
  <c r="I17" i="2" s="1"/>
  <c r="AM18" i="3" s="1"/>
  <c r="P18" i="3" s="1"/>
  <c r="V18" i="3"/>
  <c r="P13" i="3"/>
  <c r="U18" i="3"/>
  <c r="O13" i="3"/>
</calcChain>
</file>

<file path=xl/sharedStrings.xml><?xml version="1.0" encoding="utf-8"?>
<sst xmlns="http://schemas.openxmlformats.org/spreadsheetml/2006/main" count="150" uniqueCount="113">
  <si>
    <t>ÍNDICES DE LIQUIDEZ</t>
  </si>
  <si>
    <t>Capital Circulante Líquido</t>
  </si>
  <si>
    <t>Ativo Circulante</t>
  </si>
  <si>
    <t>Passivo Circulante</t>
  </si>
  <si>
    <t>Estoques</t>
  </si>
  <si>
    <t>Ativo Realizável Longo Prazo</t>
  </si>
  <si>
    <t>Passivo Exigível Longo Prazo</t>
  </si>
  <si>
    <t>Ativo Permanente</t>
  </si>
  <si>
    <t>Patrimônio Líquido</t>
  </si>
  <si>
    <t>CMV - Custo Mercadoria Vendida</t>
  </si>
  <si>
    <t>Contas a Receber</t>
  </si>
  <si>
    <t>Receita Operacional Líquida</t>
  </si>
  <si>
    <t>Lucro Bruto</t>
  </si>
  <si>
    <t>Vendas</t>
  </si>
  <si>
    <t>Lucro Operacional</t>
  </si>
  <si>
    <t>Lucro/Prejuízo Líquido</t>
  </si>
  <si>
    <t>Despesas Financeiras</t>
  </si>
  <si>
    <t>DADOS</t>
  </si>
  <si>
    <t>ATIVO</t>
  </si>
  <si>
    <t>PASSIVO</t>
  </si>
  <si>
    <r>
      <t xml:space="preserve">Contas a Receber </t>
    </r>
    <r>
      <rPr>
        <sz val="9"/>
        <color theme="1"/>
        <rFont val="Calibri"/>
        <family val="2"/>
        <scheme val="minor"/>
      </rPr>
      <t>(inclui do AC e do RLP)</t>
    </r>
  </si>
  <si>
    <t>Cia. Imaginária</t>
  </si>
  <si>
    <t>BALANÇO PATRIMONIAL</t>
  </si>
  <si>
    <t>Percentuais</t>
  </si>
  <si>
    <t>Endividamento Geral</t>
  </si>
  <si>
    <t>Índice de Garantia do Capital Próprio</t>
  </si>
  <si>
    <t>Índice de Cobertura dos Juros</t>
  </si>
  <si>
    <t>Caixa</t>
  </si>
  <si>
    <t>Bancos</t>
  </si>
  <si>
    <t>Aplicações Resgate Automático</t>
  </si>
  <si>
    <t>Total Ativo Circulante</t>
  </si>
  <si>
    <t>Aplicações Resgate Futuro</t>
  </si>
  <si>
    <t>Total Ativo Realizável Longo Prazo</t>
  </si>
  <si>
    <t>Veículos</t>
  </si>
  <si>
    <t>Máquinas e Equipamentos</t>
  </si>
  <si>
    <t>Móveis e Utensílios</t>
  </si>
  <si>
    <t>Imóveis</t>
  </si>
  <si>
    <t>Marcas e Patentes</t>
  </si>
  <si>
    <t>Total Ativo Permanente</t>
  </si>
  <si>
    <t>Total do Ativo</t>
  </si>
  <si>
    <t>Fornecedores</t>
  </si>
  <si>
    <t>Empréstimos</t>
  </si>
  <si>
    <t>Total Passivo Circulante</t>
  </si>
  <si>
    <t>Financiamentos</t>
  </si>
  <si>
    <t>Alienação de Imóveis</t>
  </si>
  <si>
    <t>Total Passivo Exigível Longo Prazo</t>
  </si>
  <si>
    <t>Capital</t>
  </si>
  <si>
    <t>Lucros / Prejuízos</t>
  </si>
  <si>
    <t>Reservas</t>
  </si>
  <si>
    <t>Total Patrimônio Líquido</t>
  </si>
  <si>
    <t>Total do Passivo</t>
  </si>
  <si>
    <t>DRE - Demonstrativo de Resultado do Exercício</t>
  </si>
  <si>
    <t>Vendas brutas</t>
  </si>
  <si>
    <t>Devoluções</t>
  </si>
  <si>
    <t>Impostos sobre as vendas</t>
  </si>
  <si>
    <t>ICMS</t>
  </si>
  <si>
    <t>IPI</t>
  </si>
  <si>
    <t>ROL - Receita Operacional Líquida</t>
  </si>
  <si>
    <t>CMV - Custo da Mercadoria Vendida</t>
  </si>
  <si>
    <t>Materiais</t>
  </si>
  <si>
    <t>Mão de obra</t>
  </si>
  <si>
    <t>Custos indiretos</t>
  </si>
  <si>
    <t>Despesas Operacionais</t>
  </si>
  <si>
    <t>Despesas de vendas (comissões e fretes)</t>
  </si>
  <si>
    <t>Publicidade</t>
  </si>
  <si>
    <t>Despesas administrativas</t>
  </si>
  <si>
    <t>Despesas financeiras</t>
  </si>
  <si>
    <t>Receita Não Operacional</t>
  </si>
  <si>
    <t>Alienação de bens</t>
  </si>
  <si>
    <t>Aluguel de imóveis ociosos</t>
  </si>
  <si>
    <t>Despesa Não Operacional</t>
  </si>
  <si>
    <t>Doações</t>
  </si>
  <si>
    <t>Desenvolvimento de projetos sociais</t>
  </si>
  <si>
    <t>Lucro Antes do Imposto de Renda</t>
  </si>
  <si>
    <t>Impostos: I.R. / C.S.L.</t>
  </si>
  <si>
    <r>
      <t xml:space="preserve">Contas a Pagar </t>
    </r>
    <r>
      <rPr>
        <sz val="9"/>
        <color theme="1"/>
        <rFont val="Calibri"/>
        <family val="2"/>
        <scheme val="minor"/>
      </rPr>
      <t>(inclui PC e ELP)</t>
    </r>
  </si>
  <si>
    <t>CCL:</t>
  </si>
  <si>
    <t>ILC:</t>
  </si>
  <si>
    <t>Índice de Liquidez Corrente</t>
  </si>
  <si>
    <t>Índice de Liquidez Seca</t>
  </si>
  <si>
    <t>ILS:</t>
  </si>
  <si>
    <t>ILT:</t>
  </si>
  <si>
    <t>Índice de Liquidez Total</t>
  </si>
  <si>
    <t>Grau de Imobilização</t>
  </si>
  <si>
    <t>GI:</t>
  </si>
  <si>
    <t>ÍNDICES DE ATIVIDADE</t>
  </si>
  <si>
    <t>Giro de Estoques</t>
  </si>
  <si>
    <t>GE:</t>
  </si>
  <si>
    <t>Idade Média de Estoques</t>
  </si>
  <si>
    <t>IME:</t>
  </si>
  <si>
    <t>Prazo Médio de Recebimento</t>
  </si>
  <si>
    <t>PMR:</t>
  </si>
  <si>
    <t>Prazo Médio de Pagamento</t>
  </si>
  <si>
    <t>PMP:</t>
  </si>
  <si>
    <t>Índices de Rentabilidade e Lucratividade</t>
  </si>
  <si>
    <t>Margem Bruta</t>
  </si>
  <si>
    <t>MB:</t>
  </si>
  <si>
    <t>Margem Operacional</t>
  </si>
  <si>
    <t>MO:</t>
  </si>
  <si>
    <t>Margem Líquida</t>
  </si>
  <si>
    <t>ML:</t>
  </si>
  <si>
    <t>Índices de Endividamento</t>
  </si>
  <si>
    <t>Índice de Endividamento Geral</t>
  </si>
  <si>
    <t>IEG:</t>
  </si>
  <si>
    <t>Índice Garantia Capital Próprio</t>
  </si>
  <si>
    <t>IGCP:</t>
  </si>
  <si>
    <t>Índice Cobertura de Juros</t>
  </si>
  <si>
    <t>ICJ:</t>
  </si>
  <si>
    <t>Fluxo de Caixa</t>
  </si>
  <si>
    <t>Ciclo de Caixa</t>
  </si>
  <si>
    <t>CC:</t>
  </si>
  <si>
    <t>Giro de Caixa</t>
  </si>
  <si>
    <t>GC: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</si>
</sst>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_ ;\-#,##0.00\ 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4" tint="0.39991454817346722"/>
      </patternFill>
    </fill>
    <fill>
      <patternFill patternType="gray0625">
        <bgColor theme="5" tint="0.399975585192419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3" xfId="0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9" fontId="0" fillId="2" borderId="0" xfId="3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0" fontId="0" fillId="3" borderId="6" xfId="3" applyNumberFormat="1" applyFont="1" applyFill="1" applyBorder="1" applyAlignment="1">
      <alignment horizontal="center" vertical="center"/>
    </xf>
    <xf numFmtId="10" fontId="0" fillId="3" borderId="7" xfId="3" applyNumberFormat="1" applyFont="1" applyFill="1" applyBorder="1" applyAlignment="1">
      <alignment horizontal="center" vertical="center"/>
    </xf>
    <xf numFmtId="10" fontId="0" fillId="3" borderId="8" xfId="3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3" fontId="0" fillId="2" borderId="9" xfId="0" applyNumberForma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9" fontId="0" fillId="6" borderId="0" xfId="3" applyFont="1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ont="1" applyFill="1" applyAlignment="1">
      <alignment vertic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3" fontId="1" fillId="7" borderId="0" xfId="0" applyNumberFormat="1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4" fontId="1" fillId="7" borderId="0" xfId="0" applyNumberFormat="1" applyFont="1" applyFill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164" fontId="0" fillId="0" borderId="1" xfId="2" applyNumberFormat="1" applyFont="1" applyBorder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9" borderId="0" xfId="0" applyFill="1"/>
    <xf numFmtId="0" fontId="1" fillId="9" borderId="0" xfId="0" applyFont="1" applyFill="1" applyAlignment="1">
      <alignment horizontal="center" vertical="center"/>
    </xf>
    <xf numFmtId="0" fontId="1" fillId="9" borderId="0" xfId="0" applyFont="1" applyFill="1"/>
    <xf numFmtId="43" fontId="9" fillId="8" borderId="0" xfId="1" applyNumberFormat="1" applyFont="1" applyFill="1" applyAlignment="1">
      <alignment horizontal="center" vertical="center"/>
    </xf>
    <xf numFmtId="2" fontId="9" fillId="8" borderId="0" xfId="0" applyNumberFormat="1" applyFont="1" applyFill="1" applyAlignment="1">
      <alignment horizontal="center" vertical="center"/>
    </xf>
    <xf numFmtId="165" fontId="9" fillId="8" borderId="0" xfId="1" applyNumberFormat="1" applyFont="1" applyFill="1" applyAlignment="1">
      <alignment horizontal="center"/>
    </xf>
    <xf numFmtId="165" fontId="9" fillId="8" borderId="0" xfId="1" applyNumberFormat="1" applyFont="1" applyFill="1" applyAlignment="1">
      <alignment horizontal="center" vertical="center"/>
    </xf>
    <xf numFmtId="166" fontId="9" fillId="8" borderId="0" xfId="0" applyNumberFormat="1" applyFont="1" applyFill="1" applyAlignment="1">
      <alignment horizontal="center" vertical="center"/>
    </xf>
    <xf numFmtId="4" fontId="9" fillId="8" borderId="0" xfId="0" applyNumberFormat="1" applyFont="1" applyFill="1" applyAlignment="1">
      <alignment horizontal="center" vertical="center"/>
    </xf>
    <xf numFmtId="10" fontId="9" fillId="8" borderId="0" xfId="3" applyNumberFormat="1" applyFont="1" applyFill="1" applyAlignment="1">
      <alignment horizontal="center" vertical="center"/>
    </xf>
    <xf numFmtId="164" fontId="0" fillId="0" borderId="12" xfId="0" applyNumberFormat="1" applyBorder="1"/>
    <xf numFmtId="164" fontId="0" fillId="0" borderId="12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ro%20Garcia/Documents/1%20ETEC/AULAS%20-%20Componentes%20Curriculares/GEST&#195;O%20FINANCEIRA%20E%20ECON&#212;MICA/Balan&#231;o%20Patrimonial%20e%20D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 Patrimonial"/>
      <sheetName val="DRE"/>
      <sheetName val="Plan2"/>
    </sheetNames>
    <sheetDataSet>
      <sheetData sheetId="0"/>
      <sheetData sheetId="1">
        <row r="26">
          <cell r="C26">
            <v>350</v>
          </cell>
          <cell r="D26">
            <v>500</v>
          </cell>
          <cell r="E26">
            <v>300</v>
          </cell>
        </row>
        <row r="28">
          <cell r="C28">
            <v>14238</v>
          </cell>
          <cell r="D28">
            <v>-7808</v>
          </cell>
          <cell r="E28">
            <v>18464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29"/>
  <sheetViews>
    <sheetView topLeftCell="A11" zoomScale="80" zoomScaleNormal="80" workbookViewId="0">
      <selection activeCell="V26" sqref="V26"/>
    </sheetView>
  </sheetViews>
  <sheetFormatPr defaultRowHeight="15" x14ac:dyDescent="0.25"/>
  <cols>
    <col min="1" max="2" width="2.28515625" customWidth="1"/>
    <col min="3" max="3" width="12.7109375" bestFit="1" customWidth="1"/>
    <col min="4" max="5" width="12.28515625" bestFit="1" customWidth="1"/>
    <col min="6" max="6" width="2.28515625" customWidth="1"/>
    <col min="7" max="7" width="1.7109375" customWidth="1"/>
    <col min="8" max="8" width="2.28515625" customWidth="1"/>
    <col min="9" max="11" width="10.28515625" customWidth="1"/>
    <col min="12" max="12" width="2.28515625" customWidth="1"/>
    <col min="13" max="13" width="1.7109375" customWidth="1"/>
    <col min="14" max="14" width="2.28515625" customWidth="1"/>
    <col min="15" max="17" width="10.28515625" customWidth="1"/>
    <col min="18" max="18" width="2.28515625" customWidth="1"/>
    <col min="19" max="19" width="1.7109375" customWidth="1"/>
    <col min="20" max="20" width="2.28515625" customWidth="1"/>
    <col min="21" max="23" width="10.28515625" customWidth="1"/>
    <col min="24" max="24" width="2.28515625" customWidth="1"/>
    <col min="25" max="25" width="1.7109375" customWidth="1"/>
    <col min="26" max="26" width="2.28515625" customWidth="1"/>
    <col min="27" max="29" width="10.28515625" customWidth="1"/>
    <col min="30" max="30" width="2.28515625" customWidth="1"/>
    <col min="32" max="32" width="31" bestFit="1" customWidth="1"/>
    <col min="33" max="35" width="15.42578125" bestFit="1" customWidth="1"/>
    <col min="36" max="36" width="3.140625" customWidth="1"/>
    <col min="37" max="37" width="34.5703125" bestFit="1" customWidth="1"/>
    <col min="38" max="38" width="13.5703125" bestFit="1" customWidth="1"/>
    <col min="39" max="40" width="15.42578125" bestFit="1" customWidth="1"/>
  </cols>
  <sheetData>
    <row r="1" spans="2:40" ht="9" customHeight="1" x14ac:dyDescent="0.25"/>
    <row r="2" spans="2:40" ht="7.5" customHeight="1" x14ac:dyDescent="0.25">
      <c r="B2" s="70"/>
      <c r="C2" s="70"/>
      <c r="D2" s="70"/>
      <c r="E2" s="70"/>
      <c r="F2" s="70"/>
      <c r="H2" s="70"/>
      <c r="I2" s="70"/>
      <c r="J2" s="70"/>
      <c r="K2" s="70"/>
      <c r="L2" s="70"/>
      <c r="N2" s="70"/>
      <c r="O2" s="70"/>
      <c r="P2" s="70"/>
      <c r="Q2" s="70"/>
      <c r="R2" s="70"/>
    </row>
    <row r="3" spans="2:40" x14ac:dyDescent="0.25">
      <c r="B3" s="84" t="s">
        <v>0</v>
      </c>
      <c r="C3" s="84"/>
      <c r="D3" s="84"/>
      <c r="E3" s="84"/>
      <c r="F3" s="84"/>
      <c r="G3" s="34"/>
      <c r="H3" s="84" t="s">
        <v>85</v>
      </c>
      <c r="I3" s="84"/>
      <c r="J3" s="84"/>
      <c r="K3" s="84"/>
      <c r="L3" s="84"/>
      <c r="N3" s="84" t="s">
        <v>94</v>
      </c>
      <c r="O3" s="84"/>
      <c r="P3" s="84"/>
      <c r="Q3" s="84"/>
      <c r="R3" s="84"/>
      <c r="T3" s="84" t="s">
        <v>101</v>
      </c>
      <c r="U3" s="84"/>
      <c r="V3" s="84"/>
      <c r="W3" s="84"/>
      <c r="X3" s="84"/>
      <c r="Z3" s="84" t="s">
        <v>108</v>
      </c>
      <c r="AA3" s="84"/>
      <c r="AB3" s="84"/>
      <c r="AC3" s="84"/>
      <c r="AD3" s="84"/>
      <c r="AF3" s="82" t="s">
        <v>17</v>
      </c>
      <c r="AG3" s="82"/>
      <c r="AH3" s="82"/>
      <c r="AI3" s="82"/>
      <c r="AJ3" s="82"/>
      <c r="AK3" s="82"/>
      <c r="AL3" s="82"/>
      <c r="AM3" s="82"/>
      <c r="AN3" s="82"/>
    </row>
    <row r="4" spans="2:40" x14ac:dyDescent="0.25">
      <c r="B4" s="70"/>
      <c r="C4" s="72"/>
      <c r="D4" s="72"/>
      <c r="E4" s="72"/>
      <c r="F4" s="70"/>
      <c r="H4" s="70"/>
      <c r="I4" s="70"/>
      <c r="J4" s="70"/>
      <c r="K4" s="70"/>
      <c r="L4" s="70"/>
      <c r="N4" s="70"/>
      <c r="O4" s="70"/>
      <c r="P4" s="70"/>
      <c r="Q4" s="70"/>
      <c r="R4" s="70"/>
      <c r="T4" s="70"/>
      <c r="U4" s="70"/>
      <c r="V4" s="70"/>
      <c r="W4" s="70"/>
      <c r="X4" s="70"/>
      <c r="Z4" s="70"/>
      <c r="AA4" s="70"/>
      <c r="AB4" s="70"/>
      <c r="AC4" s="70"/>
      <c r="AD4" s="70"/>
      <c r="AF4" s="2"/>
      <c r="AG4" s="4">
        <v>2013</v>
      </c>
      <c r="AH4" s="4">
        <v>2014</v>
      </c>
      <c r="AI4" s="4">
        <v>2015</v>
      </c>
      <c r="AJ4" s="60"/>
      <c r="AK4" s="3"/>
      <c r="AL4" s="4">
        <v>2013</v>
      </c>
      <c r="AM4" s="4">
        <v>2014</v>
      </c>
      <c r="AN4" s="4">
        <v>2015</v>
      </c>
    </row>
    <row r="5" spans="2:40" x14ac:dyDescent="0.25">
      <c r="B5" s="70"/>
      <c r="C5" s="85" t="s">
        <v>1</v>
      </c>
      <c r="D5" s="85"/>
      <c r="E5" s="85"/>
      <c r="F5" s="70"/>
      <c r="H5" s="70"/>
      <c r="I5" s="83" t="s">
        <v>86</v>
      </c>
      <c r="J5" s="83"/>
      <c r="K5" s="83"/>
      <c r="L5" s="70"/>
      <c r="N5" s="70"/>
      <c r="O5" s="83" t="s">
        <v>95</v>
      </c>
      <c r="P5" s="83"/>
      <c r="Q5" s="83"/>
      <c r="R5" s="70"/>
      <c r="T5" s="70"/>
      <c r="U5" s="83" t="s">
        <v>102</v>
      </c>
      <c r="V5" s="83"/>
      <c r="W5" s="83"/>
      <c r="X5" s="70"/>
      <c r="Z5" s="70"/>
      <c r="AA5" s="83" t="s">
        <v>109</v>
      </c>
      <c r="AB5" s="83"/>
      <c r="AC5" s="83"/>
      <c r="AD5" s="70"/>
      <c r="AF5" s="62"/>
      <c r="AG5" s="60"/>
      <c r="AH5" s="60"/>
      <c r="AI5" s="60"/>
      <c r="AJ5" s="60"/>
      <c r="AK5" s="60"/>
      <c r="AL5" s="60"/>
      <c r="AM5" s="60"/>
      <c r="AN5" s="60"/>
    </row>
    <row r="6" spans="2:40" x14ac:dyDescent="0.25">
      <c r="B6" s="70"/>
      <c r="C6" s="85" t="s">
        <v>76</v>
      </c>
      <c r="D6" s="85"/>
      <c r="E6" s="85"/>
      <c r="F6" s="70"/>
      <c r="H6" s="70"/>
      <c r="I6" s="83" t="s">
        <v>87</v>
      </c>
      <c r="J6" s="83"/>
      <c r="K6" s="83"/>
      <c r="L6" s="70"/>
      <c r="N6" s="70"/>
      <c r="O6" s="83" t="s">
        <v>96</v>
      </c>
      <c r="P6" s="83"/>
      <c r="Q6" s="83"/>
      <c r="R6" s="70"/>
      <c r="T6" s="70"/>
      <c r="U6" s="83" t="s">
        <v>103</v>
      </c>
      <c r="V6" s="83"/>
      <c r="W6" s="83"/>
      <c r="X6" s="70"/>
      <c r="Z6" s="70"/>
      <c r="AA6" s="83" t="s">
        <v>110</v>
      </c>
      <c r="AB6" s="83"/>
      <c r="AC6" s="83"/>
      <c r="AD6" s="70"/>
      <c r="AF6" s="58" t="s">
        <v>2</v>
      </c>
      <c r="AG6" s="65">
        <f>Dados!C5</f>
        <v>335000</v>
      </c>
      <c r="AH6" s="65">
        <f>Dados!D5</f>
        <v>2005000</v>
      </c>
      <c r="AI6" s="65">
        <f>Dados!E5</f>
        <v>2305000</v>
      </c>
      <c r="AJ6" s="59"/>
      <c r="AK6" s="58" t="s">
        <v>20</v>
      </c>
      <c r="AL6" s="63">
        <f>Dados!H5</f>
        <v>95000</v>
      </c>
      <c r="AM6" s="63">
        <f>Dados!I5</f>
        <v>1800000</v>
      </c>
      <c r="AN6" s="63">
        <f>Dados!J5</f>
        <v>3275000</v>
      </c>
    </row>
    <row r="7" spans="2:40" x14ac:dyDescent="0.25">
      <c r="B7" s="70"/>
      <c r="C7" s="69">
        <v>2013</v>
      </c>
      <c r="D7" s="69">
        <v>2014</v>
      </c>
      <c r="E7" s="69">
        <v>2015</v>
      </c>
      <c r="F7" s="70"/>
      <c r="H7" s="70"/>
      <c r="I7" s="69">
        <v>2013</v>
      </c>
      <c r="J7" s="69">
        <v>2014</v>
      </c>
      <c r="K7" s="69">
        <v>2015</v>
      </c>
      <c r="L7" s="70"/>
      <c r="N7" s="70"/>
      <c r="O7" s="69">
        <v>2013</v>
      </c>
      <c r="P7" s="69">
        <v>2014</v>
      </c>
      <c r="Q7" s="69">
        <v>2015</v>
      </c>
      <c r="R7" s="70"/>
      <c r="T7" s="70"/>
      <c r="U7" s="69">
        <v>2013</v>
      </c>
      <c r="V7" s="69">
        <v>2014</v>
      </c>
      <c r="W7" s="69">
        <v>2015</v>
      </c>
      <c r="X7" s="70"/>
      <c r="Z7" s="70"/>
      <c r="AA7" s="69">
        <v>2013</v>
      </c>
      <c r="AB7" s="69">
        <v>2014</v>
      </c>
      <c r="AC7" s="69">
        <v>2015</v>
      </c>
      <c r="AD7" s="70"/>
      <c r="AF7" s="59"/>
      <c r="AG7" s="80"/>
      <c r="AH7" s="80"/>
      <c r="AI7" s="80"/>
      <c r="AK7" s="59"/>
      <c r="AL7" s="81"/>
      <c r="AM7" s="81"/>
      <c r="AN7" s="81"/>
    </row>
    <row r="8" spans="2:40" x14ac:dyDescent="0.25">
      <c r="B8" s="70"/>
      <c r="C8" s="73">
        <f>AG6-AG8</f>
        <v>85000</v>
      </c>
      <c r="D8" s="73">
        <f t="shared" ref="D8:E8" si="0">AH6-AH8</f>
        <v>885000</v>
      </c>
      <c r="E8" s="73">
        <f t="shared" si="0"/>
        <v>185000</v>
      </c>
      <c r="F8" s="70"/>
      <c r="H8" s="70"/>
      <c r="I8" s="74">
        <f>AG20/AG10</f>
        <v>0.14782608695652175</v>
      </c>
      <c r="J8" s="74">
        <f>AH20/AH10</f>
        <v>3.1232876712328769E-2</v>
      </c>
      <c r="K8" s="74">
        <f t="shared" ref="K8" si="1">AI20/AI10</f>
        <v>2.959349593495935E-2</v>
      </c>
      <c r="L8" s="70"/>
      <c r="N8" s="70"/>
      <c r="O8" s="79">
        <f>AL12/AL14</f>
        <v>0.30536585365853658</v>
      </c>
      <c r="P8" s="79">
        <f t="shared" ref="P8:Q8" si="2">AM12/AM14</f>
        <v>0.12</v>
      </c>
      <c r="Q8" s="79">
        <f t="shared" si="2"/>
        <v>0.34083333333333332</v>
      </c>
      <c r="R8" s="70"/>
      <c r="T8" s="70"/>
      <c r="U8" s="76">
        <f>(AG8+AG14)/(AG6+AG12+AG16)</f>
        <v>0.25</v>
      </c>
      <c r="V8" s="76">
        <f t="shared" ref="V8:W8" si="3">(AH8+AH14)/(AH6+AH12+AH16)</f>
        <v>0.47669977081741788</v>
      </c>
      <c r="W8" s="76">
        <f t="shared" si="3"/>
        <v>0.6095444685466378</v>
      </c>
      <c r="X8" s="70"/>
      <c r="Z8" s="70"/>
      <c r="AA8" s="74">
        <f>I13+I18-I23</f>
        <v>-2014.8493543758977</v>
      </c>
      <c r="AB8" s="74">
        <f>J13+J18-J23</f>
        <v>-14052.631578947367</v>
      </c>
      <c r="AC8" s="74">
        <f>K13+K18-K23</f>
        <v>-26360.290750915752</v>
      </c>
      <c r="AD8" s="70"/>
      <c r="AF8" s="58" t="s">
        <v>3</v>
      </c>
      <c r="AG8" s="65">
        <f>Dados!C7</f>
        <v>250000</v>
      </c>
      <c r="AH8" s="65">
        <f>Dados!D7</f>
        <v>1120000</v>
      </c>
      <c r="AI8" s="65">
        <f>Dados!E7</f>
        <v>2120000</v>
      </c>
      <c r="AJ8" s="61"/>
      <c r="AK8" s="58" t="s">
        <v>11</v>
      </c>
      <c r="AL8" s="63">
        <f>Dados!H7</f>
        <v>59040</v>
      </c>
      <c r="AM8" s="63">
        <f>Dados!I7</f>
        <v>27360</v>
      </c>
      <c r="AN8" s="63">
        <f>Dados!J7</f>
        <v>69120</v>
      </c>
    </row>
    <row r="9" spans="2:40" ht="12.95" customHeight="1" x14ac:dyDescent="0.25">
      <c r="B9" s="70"/>
      <c r="C9" s="71"/>
      <c r="D9" s="71"/>
      <c r="E9" s="71"/>
      <c r="F9" s="70"/>
      <c r="H9" s="70"/>
      <c r="I9" s="71"/>
      <c r="J9" s="71"/>
      <c r="K9" s="71"/>
      <c r="L9" s="70"/>
      <c r="N9" s="70"/>
      <c r="O9" s="71"/>
      <c r="P9" s="71"/>
      <c r="Q9" s="71"/>
      <c r="R9" s="70"/>
      <c r="T9" s="70"/>
      <c r="U9" s="71"/>
      <c r="V9" s="71"/>
      <c r="W9" s="71"/>
      <c r="X9" s="70"/>
      <c r="Z9" s="70"/>
      <c r="AA9" s="71"/>
      <c r="AB9" s="71"/>
      <c r="AC9" s="71"/>
      <c r="AD9" s="70"/>
      <c r="AF9" s="59"/>
      <c r="AG9" s="80"/>
      <c r="AH9" s="80"/>
      <c r="AI9" s="80"/>
      <c r="AK9" s="59"/>
      <c r="AL9" s="81"/>
      <c r="AM9" s="81"/>
      <c r="AN9" s="81"/>
    </row>
    <row r="10" spans="2:40" x14ac:dyDescent="0.25">
      <c r="B10" s="70"/>
      <c r="C10" s="83" t="s">
        <v>78</v>
      </c>
      <c r="D10" s="83"/>
      <c r="E10" s="83"/>
      <c r="F10" s="70"/>
      <c r="H10" s="70"/>
      <c r="I10" s="83" t="s">
        <v>88</v>
      </c>
      <c r="J10" s="83"/>
      <c r="K10" s="83"/>
      <c r="L10" s="70"/>
      <c r="N10" s="70"/>
      <c r="O10" s="83" t="s">
        <v>97</v>
      </c>
      <c r="P10" s="83"/>
      <c r="Q10" s="83"/>
      <c r="R10" s="70"/>
      <c r="T10" s="70"/>
      <c r="U10" s="83" t="s">
        <v>104</v>
      </c>
      <c r="V10" s="83"/>
      <c r="W10" s="83"/>
      <c r="X10" s="70"/>
      <c r="Z10" s="70"/>
      <c r="AA10" s="83" t="s">
        <v>111</v>
      </c>
      <c r="AB10" s="83"/>
      <c r="AC10" s="83"/>
      <c r="AD10" s="70"/>
      <c r="AF10" s="58" t="s">
        <v>4</v>
      </c>
      <c r="AG10" s="65">
        <f>Dados!C9</f>
        <v>230000</v>
      </c>
      <c r="AH10" s="65">
        <f>Dados!D9</f>
        <v>730000</v>
      </c>
      <c r="AI10" s="65">
        <f>Dados!E9</f>
        <v>1230000</v>
      </c>
      <c r="AJ10" s="59"/>
      <c r="AK10" s="58" t="s">
        <v>75</v>
      </c>
      <c r="AL10" s="63">
        <f>Dados!H9</f>
        <v>475000</v>
      </c>
      <c r="AM10" s="63">
        <f>Dados!I9</f>
        <v>3120000</v>
      </c>
      <c r="AN10" s="63">
        <f>Dados!J9</f>
        <v>5620000</v>
      </c>
    </row>
    <row r="11" spans="2:40" x14ac:dyDescent="0.25">
      <c r="B11" s="70"/>
      <c r="C11" s="83" t="s">
        <v>77</v>
      </c>
      <c r="D11" s="83"/>
      <c r="E11" s="83"/>
      <c r="F11" s="70"/>
      <c r="H11" s="70"/>
      <c r="I11" s="83" t="s">
        <v>89</v>
      </c>
      <c r="J11" s="83"/>
      <c r="K11" s="83"/>
      <c r="L11" s="70"/>
      <c r="N11" s="70"/>
      <c r="O11" s="83" t="s">
        <v>98</v>
      </c>
      <c r="P11" s="83"/>
      <c r="Q11" s="83"/>
      <c r="R11" s="70"/>
      <c r="T11" s="70"/>
      <c r="U11" s="83" t="s">
        <v>105</v>
      </c>
      <c r="V11" s="83"/>
      <c r="W11" s="83"/>
      <c r="X11" s="70"/>
      <c r="Z11" s="70"/>
      <c r="AA11" s="83" t="s">
        <v>112</v>
      </c>
      <c r="AB11" s="83"/>
      <c r="AC11" s="83"/>
      <c r="AD11" s="70"/>
      <c r="AF11" s="59"/>
      <c r="AG11" s="80"/>
      <c r="AH11" s="80"/>
      <c r="AI11" s="80"/>
      <c r="AK11" s="59"/>
      <c r="AL11" s="81"/>
      <c r="AM11" s="81"/>
      <c r="AN11" s="81"/>
    </row>
    <row r="12" spans="2:40" x14ac:dyDescent="0.25">
      <c r="B12" s="70"/>
      <c r="C12" s="69">
        <v>2013</v>
      </c>
      <c r="D12" s="69">
        <v>2014</v>
      </c>
      <c r="E12" s="69">
        <v>2015</v>
      </c>
      <c r="F12" s="70"/>
      <c r="H12" s="70"/>
      <c r="I12" s="69">
        <v>2013</v>
      </c>
      <c r="J12" s="69">
        <v>2014</v>
      </c>
      <c r="K12" s="69">
        <v>2015</v>
      </c>
      <c r="L12" s="70"/>
      <c r="N12" s="70"/>
      <c r="O12" s="69">
        <v>2013</v>
      </c>
      <c r="P12" s="69">
        <v>2014</v>
      </c>
      <c r="Q12" s="69">
        <v>2015</v>
      </c>
      <c r="R12" s="70"/>
      <c r="T12" s="70"/>
      <c r="U12" s="69">
        <v>2013</v>
      </c>
      <c r="V12" s="69">
        <v>2014</v>
      </c>
      <c r="W12" s="69">
        <v>2015</v>
      </c>
      <c r="X12" s="70"/>
      <c r="Z12" s="70"/>
      <c r="AA12" s="69">
        <v>2013</v>
      </c>
      <c r="AB12" s="69">
        <v>2014</v>
      </c>
      <c r="AC12" s="69">
        <v>2015</v>
      </c>
      <c r="AD12" s="70"/>
      <c r="AF12" s="58" t="s">
        <v>5</v>
      </c>
      <c r="AG12" s="65">
        <f>Dados!C11</f>
        <v>65000</v>
      </c>
      <c r="AH12" s="65">
        <f>Dados!D11</f>
        <v>900000</v>
      </c>
      <c r="AI12" s="65">
        <f>Dados!E11</f>
        <v>3575000</v>
      </c>
      <c r="AJ12" s="59"/>
      <c r="AK12" s="58" t="s">
        <v>12</v>
      </c>
      <c r="AL12" s="63">
        <f>Dados!H11</f>
        <v>25040</v>
      </c>
      <c r="AM12" s="63">
        <f>Dados!I11</f>
        <v>4560</v>
      </c>
      <c r="AN12" s="63">
        <f>Dados!J11</f>
        <v>32720</v>
      </c>
    </row>
    <row r="13" spans="2:40" x14ac:dyDescent="0.25">
      <c r="B13" s="70"/>
      <c r="C13" s="74">
        <f>AG6/AG8</f>
        <v>1.34</v>
      </c>
      <c r="D13" s="74">
        <f t="shared" ref="D13:E13" si="4">AH6/AH8</f>
        <v>1.7901785714285714</v>
      </c>
      <c r="E13" s="74">
        <f t="shared" si="4"/>
        <v>1.0872641509433962</v>
      </c>
      <c r="F13" s="70"/>
      <c r="H13" s="70"/>
      <c r="I13" s="77">
        <f>360/I8</f>
        <v>2435.2941176470586</v>
      </c>
      <c r="J13" s="77">
        <f t="shared" ref="J13:K13" si="5">360/J8</f>
        <v>11526.315789473683</v>
      </c>
      <c r="K13" s="77">
        <f t="shared" si="5"/>
        <v>12164.835164835164</v>
      </c>
      <c r="L13" s="70"/>
      <c r="N13" s="70"/>
      <c r="O13" s="79">
        <f>AL16/AL14</f>
        <v>0.1736341463414634</v>
      </c>
      <c r="P13" s="79">
        <f t="shared" ref="P13:Q13" si="6">AM16/AM14</f>
        <v>-0.20547368421052631</v>
      </c>
      <c r="Q13" s="79">
        <f t="shared" si="6"/>
        <v>0.19233333333333333</v>
      </c>
      <c r="R13" s="70"/>
      <c r="T13" s="70"/>
      <c r="U13" s="78">
        <f>AG18/(AG8+AG14)</f>
        <v>3</v>
      </c>
      <c r="V13" s="78">
        <f t="shared" ref="V13:W13" si="7">AH18/(AH8+AH14)</f>
        <v>1.0977564102564104</v>
      </c>
      <c r="W13" s="78">
        <f t="shared" si="7"/>
        <v>0.64056939501779364</v>
      </c>
      <c r="X13" s="70"/>
      <c r="Z13" s="70"/>
      <c r="AA13" s="74">
        <f>360/AA8</f>
        <v>-0.1786734076263039</v>
      </c>
      <c r="AB13" s="74">
        <f t="shared" ref="AB13:AC13" si="8">360/AB8</f>
        <v>-2.5617977528089891E-2</v>
      </c>
      <c r="AC13" s="74">
        <f t="shared" si="8"/>
        <v>-1.365690550994752E-2</v>
      </c>
      <c r="AD13" s="70"/>
      <c r="AF13" s="59"/>
      <c r="AG13" s="80"/>
      <c r="AH13" s="80"/>
      <c r="AI13" s="80"/>
      <c r="AK13" s="59"/>
      <c r="AL13" s="81"/>
      <c r="AM13" s="81"/>
      <c r="AN13" s="81"/>
    </row>
    <row r="14" spans="2:40" ht="12.95" customHeight="1" x14ac:dyDescent="0.25">
      <c r="B14" s="70"/>
      <c r="C14" s="71"/>
      <c r="D14" s="71"/>
      <c r="E14" s="71"/>
      <c r="F14" s="70"/>
      <c r="H14" s="70"/>
      <c r="I14" s="71"/>
      <c r="J14" s="71"/>
      <c r="K14" s="71"/>
      <c r="L14" s="70"/>
      <c r="N14" s="70"/>
      <c r="O14" s="71"/>
      <c r="P14" s="71"/>
      <c r="Q14" s="71"/>
      <c r="R14" s="70"/>
      <c r="T14" s="70"/>
      <c r="U14" s="71"/>
      <c r="V14" s="71"/>
      <c r="W14" s="71"/>
      <c r="X14" s="70"/>
      <c r="Z14" s="70"/>
      <c r="AA14" s="71"/>
      <c r="AB14" s="71"/>
      <c r="AC14" s="71"/>
      <c r="AD14" s="70"/>
      <c r="AF14" s="58" t="s">
        <v>6</v>
      </c>
      <c r="AG14" s="65">
        <f>Dados!C13</f>
        <v>225000</v>
      </c>
      <c r="AH14" s="65">
        <f>Dados!D13</f>
        <v>2000000</v>
      </c>
      <c r="AI14" s="65">
        <f>Dados!E13</f>
        <v>3500000</v>
      </c>
      <c r="AJ14" s="59"/>
      <c r="AK14" s="58" t="s">
        <v>13</v>
      </c>
      <c r="AL14" s="63">
        <f>Dados!H13</f>
        <v>82000</v>
      </c>
      <c r="AM14" s="63">
        <f>Dados!I13</f>
        <v>38000</v>
      </c>
      <c r="AN14" s="63">
        <f>Dados!J13</f>
        <v>96000</v>
      </c>
    </row>
    <row r="15" spans="2:40" x14ac:dyDescent="0.25">
      <c r="B15" s="70"/>
      <c r="C15" s="83" t="s">
        <v>79</v>
      </c>
      <c r="D15" s="83"/>
      <c r="E15" s="83"/>
      <c r="F15" s="70"/>
      <c r="H15" s="70"/>
      <c r="I15" s="83" t="s">
        <v>90</v>
      </c>
      <c r="J15" s="83"/>
      <c r="K15" s="83"/>
      <c r="L15" s="70"/>
      <c r="N15" s="70"/>
      <c r="O15" s="83" t="s">
        <v>99</v>
      </c>
      <c r="P15" s="83"/>
      <c r="Q15" s="83"/>
      <c r="R15" s="70"/>
      <c r="T15" s="70"/>
      <c r="U15" s="83" t="s">
        <v>106</v>
      </c>
      <c r="V15" s="83"/>
      <c r="W15" s="83"/>
      <c r="X15" s="70"/>
      <c r="AF15" s="59"/>
      <c r="AG15" s="80"/>
      <c r="AH15" s="80"/>
      <c r="AI15" s="80"/>
      <c r="AK15" s="59"/>
      <c r="AL15" s="81"/>
      <c r="AM15" s="81"/>
      <c r="AN15" s="81"/>
    </row>
    <row r="16" spans="2:40" x14ac:dyDescent="0.25">
      <c r="B16" s="70"/>
      <c r="C16" s="83" t="s">
        <v>80</v>
      </c>
      <c r="D16" s="83"/>
      <c r="E16" s="83"/>
      <c r="F16" s="70"/>
      <c r="H16" s="70"/>
      <c r="I16" s="83" t="s">
        <v>91</v>
      </c>
      <c r="J16" s="83"/>
      <c r="K16" s="83"/>
      <c r="L16" s="70"/>
      <c r="N16" s="70"/>
      <c r="O16" s="83" t="s">
        <v>100</v>
      </c>
      <c r="P16" s="83"/>
      <c r="Q16" s="83"/>
      <c r="R16" s="70"/>
      <c r="T16" s="70"/>
      <c r="U16" s="83" t="s">
        <v>107</v>
      </c>
      <c r="V16" s="83"/>
      <c r="W16" s="83"/>
      <c r="X16" s="70"/>
      <c r="AF16" s="58" t="s">
        <v>7</v>
      </c>
      <c r="AG16" s="65">
        <f>Dados!C15</f>
        <v>1500000</v>
      </c>
      <c r="AH16" s="65">
        <f>Dados!D15</f>
        <v>3640000</v>
      </c>
      <c r="AI16" s="65">
        <f>Dados!E15</f>
        <v>3340000</v>
      </c>
      <c r="AJ16" s="59"/>
      <c r="AK16" s="58" t="s">
        <v>14</v>
      </c>
      <c r="AL16" s="63">
        <f>Dados!H15</f>
        <v>14238</v>
      </c>
      <c r="AM16" s="63">
        <f>Dados!I15</f>
        <v>-7808</v>
      </c>
      <c r="AN16" s="63">
        <f>Dados!J15</f>
        <v>18464</v>
      </c>
    </row>
    <row r="17" spans="2:40" x14ac:dyDescent="0.25">
      <c r="B17" s="70"/>
      <c r="C17" s="69">
        <v>2013</v>
      </c>
      <c r="D17" s="69">
        <v>2014</v>
      </c>
      <c r="E17" s="69">
        <v>2015</v>
      </c>
      <c r="F17" s="70"/>
      <c r="H17" s="70"/>
      <c r="I17" s="69">
        <v>2013</v>
      </c>
      <c r="J17" s="69">
        <v>2014</v>
      </c>
      <c r="K17" s="69">
        <v>2015</v>
      </c>
      <c r="L17" s="70"/>
      <c r="N17" s="70"/>
      <c r="O17" s="69">
        <v>2013</v>
      </c>
      <c r="P17" s="69">
        <v>2014</v>
      </c>
      <c r="Q17" s="69">
        <v>2015</v>
      </c>
      <c r="R17" s="70"/>
      <c r="T17" s="70"/>
      <c r="U17" s="69">
        <v>2013</v>
      </c>
      <c r="V17" s="69">
        <v>2014</v>
      </c>
      <c r="W17" s="69">
        <v>2015</v>
      </c>
      <c r="X17" s="70"/>
      <c r="AF17" s="59"/>
      <c r="AG17" s="80"/>
      <c r="AH17" s="80"/>
      <c r="AI17" s="80"/>
      <c r="AK17" s="59"/>
      <c r="AL17" s="81"/>
      <c r="AM17" s="81"/>
      <c r="AN17" s="81"/>
    </row>
    <row r="18" spans="2:40" x14ac:dyDescent="0.25">
      <c r="B18" s="70"/>
      <c r="C18" s="75">
        <f>(AG6-AG10)/AG8</f>
        <v>0.42</v>
      </c>
      <c r="D18" s="75">
        <f t="shared" ref="D18:E18" si="9">(AH6-AH10)/AH8</f>
        <v>1.1383928571428572</v>
      </c>
      <c r="E18" s="75">
        <f t="shared" si="9"/>
        <v>0.50707547169811318</v>
      </c>
      <c r="F18" s="70"/>
      <c r="H18" s="70"/>
      <c r="I18" s="76">
        <f>AL6/(AL8/360)</f>
        <v>579.26829268292681</v>
      </c>
      <c r="J18" s="76">
        <f t="shared" ref="J18:K18" si="10">AM6/(AM8/360)</f>
        <v>23684.21052631579</v>
      </c>
      <c r="K18" s="76">
        <f t="shared" si="10"/>
        <v>17057.291666666668</v>
      </c>
      <c r="L18" s="70"/>
      <c r="N18" s="70"/>
      <c r="O18" s="79">
        <f>AL18/AL14</f>
        <v>0.12495853658536586</v>
      </c>
      <c r="P18" s="79">
        <f t="shared" ref="P18:Q18" si="11">AM18/AM14</f>
        <v>4.8668421052631583E-2</v>
      </c>
      <c r="Q18" s="79">
        <f t="shared" si="11"/>
        <v>0.13755000000000001</v>
      </c>
      <c r="R18" s="70"/>
      <c r="T18" s="70"/>
      <c r="U18" s="74">
        <f>AL16/AL20</f>
        <v>40.68</v>
      </c>
      <c r="V18" s="74">
        <f t="shared" ref="V18:W18" si="12">AM16/AM20</f>
        <v>-15.616</v>
      </c>
      <c r="W18" s="74">
        <f t="shared" si="12"/>
        <v>61.546666666666667</v>
      </c>
      <c r="X18" s="70"/>
      <c r="AF18" s="58" t="s">
        <v>8</v>
      </c>
      <c r="AG18" s="65">
        <f>Dados!C17</f>
        <v>1425000</v>
      </c>
      <c r="AH18" s="65">
        <f>Dados!D17</f>
        <v>3425000</v>
      </c>
      <c r="AI18" s="65">
        <f>Dados!E17</f>
        <v>3600000</v>
      </c>
      <c r="AJ18" s="59"/>
      <c r="AK18" s="58" t="s">
        <v>15</v>
      </c>
      <c r="AL18" s="63">
        <f>Dados!H17</f>
        <v>10246.6</v>
      </c>
      <c r="AM18" s="63">
        <f>Dados!I17</f>
        <v>1849.4</v>
      </c>
      <c r="AN18" s="63">
        <f>Dados!J17</f>
        <v>13204.8</v>
      </c>
    </row>
    <row r="19" spans="2:40" ht="12.95" customHeight="1" x14ac:dyDescent="0.25">
      <c r="B19" s="70"/>
      <c r="C19" s="71"/>
      <c r="D19" s="71"/>
      <c r="E19" s="71"/>
      <c r="F19" s="70"/>
      <c r="H19" s="70"/>
      <c r="I19" s="71"/>
      <c r="J19" s="71"/>
      <c r="K19" s="71"/>
      <c r="L19" s="70"/>
      <c r="N19" s="70"/>
      <c r="O19" s="71"/>
      <c r="P19" s="71"/>
      <c r="Q19" s="71"/>
      <c r="R19" s="70"/>
      <c r="T19" s="70"/>
      <c r="U19" s="70"/>
      <c r="V19" s="70"/>
      <c r="W19" s="70"/>
      <c r="X19" s="70"/>
      <c r="AF19" s="59"/>
      <c r="AG19" s="80"/>
      <c r="AH19" s="80"/>
      <c r="AI19" s="80"/>
      <c r="AK19" s="59"/>
      <c r="AL19" s="81"/>
      <c r="AM19" s="81"/>
      <c r="AN19" s="81"/>
    </row>
    <row r="20" spans="2:40" x14ac:dyDescent="0.25">
      <c r="B20" s="70"/>
      <c r="C20" s="83" t="s">
        <v>82</v>
      </c>
      <c r="D20" s="83"/>
      <c r="E20" s="83"/>
      <c r="F20" s="70"/>
      <c r="H20" s="70"/>
      <c r="I20" s="83" t="s">
        <v>92</v>
      </c>
      <c r="J20" s="83"/>
      <c r="K20" s="83"/>
      <c r="L20" s="70"/>
      <c r="O20" s="68"/>
      <c r="P20" s="68"/>
      <c r="Q20" s="68"/>
      <c r="AF20" s="58" t="s">
        <v>9</v>
      </c>
      <c r="AG20" s="65">
        <f>Dados!C19</f>
        <v>34000</v>
      </c>
      <c r="AH20" s="65">
        <f>Dados!D19</f>
        <v>22800</v>
      </c>
      <c r="AI20" s="65">
        <f>Dados!E19</f>
        <v>36400</v>
      </c>
      <c r="AJ20" s="59"/>
      <c r="AK20" s="58" t="s">
        <v>16</v>
      </c>
      <c r="AL20" s="63">
        <f>Dados!H19</f>
        <v>350</v>
      </c>
      <c r="AM20" s="63">
        <f>Dados!I19</f>
        <v>500</v>
      </c>
      <c r="AN20" s="63">
        <f>Dados!J19</f>
        <v>300</v>
      </c>
    </row>
    <row r="21" spans="2:40" x14ac:dyDescent="0.25">
      <c r="B21" s="70"/>
      <c r="C21" s="83" t="s">
        <v>81</v>
      </c>
      <c r="D21" s="83"/>
      <c r="E21" s="83"/>
      <c r="F21" s="70"/>
      <c r="H21" s="70"/>
      <c r="I21" s="83" t="s">
        <v>93</v>
      </c>
      <c r="J21" s="83"/>
      <c r="K21" s="83"/>
      <c r="L21" s="70"/>
      <c r="O21" s="68"/>
      <c r="P21" s="68"/>
      <c r="Q21" s="68"/>
    </row>
    <row r="22" spans="2:40" x14ac:dyDescent="0.25">
      <c r="B22" s="70"/>
      <c r="C22" s="69">
        <v>2013</v>
      </c>
      <c r="D22" s="69">
        <v>2014</v>
      </c>
      <c r="E22" s="69">
        <v>2015</v>
      </c>
      <c r="F22" s="70"/>
      <c r="H22" s="70"/>
      <c r="I22" s="69">
        <v>2013</v>
      </c>
      <c r="J22" s="69">
        <v>2014</v>
      </c>
      <c r="K22" s="69">
        <v>2015</v>
      </c>
      <c r="L22" s="70"/>
      <c r="O22" s="68"/>
      <c r="P22" s="68"/>
      <c r="Q22" s="68"/>
    </row>
    <row r="23" spans="2:40" x14ac:dyDescent="0.25">
      <c r="B23" s="70"/>
      <c r="C23" s="76">
        <f>(AG6+AG12)/(AG8+AG14)</f>
        <v>0.84210526315789469</v>
      </c>
      <c r="D23" s="76">
        <f t="shared" ref="D23:E23" si="13">(AH6+AH12)/(AH8+AH14)</f>
        <v>0.93108974358974361</v>
      </c>
      <c r="E23" s="76">
        <f t="shared" si="13"/>
        <v>1.0462633451957295</v>
      </c>
      <c r="F23" s="70"/>
      <c r="H23" s="70"/>
      <c r="I23" s="78">
        <f>AL10/(AG20/360)</f>
        <v>5029.4117647058829</v>
      </c>
      <c r="J23" s="78">
        <f t="shared" ref="J23:K23" si="14">AM10/(AH20/360)</f>
        <v>49263.15789473684</v>
      </c>
      <c r="K23" s="78">
        <f t="shared" si="14"/>
        <v>55582.417582417584</v>
      </c>
      <c r="L23" s="70"/>
    </row>
    <row r="24" spans="2:40" ht="12.95" customHeight="1" x14ac:dyDescent="0.25">
      <c r="B24" s="70"/>
      <c r="C24" s="71"/>
      <c r="D24" s="71"/>
      <c r="E24" s="71"/>
      <c r="F24" s="70"/>
      <c r="H24" s="70"/>
      <c r="I24" s="71"/>
      <c r="J24" s="71"/>
      <c r="K24" s="71"/>
      <c r="L24" s="70"/>
    </row>
    <row r="25" spans="2:40" x14ac:dyDescent="0.25">
      <c r="B25" s="70"/>
      <c r="C25" s="83" t="s">
        <v>83</v>
      </c>
      <c r="D25" s="83"/>
      <c r="E25" s="83"/>
      <c r="F25" s="70"/>
      <c r="I25" s="68"/>
      <c r="J25" s="68"/>
      <c r="K25" s="68"/>
    </row>
    <row r="26" spans="2:40" x14ac:dyDescent="0.25">
      <c r="B26" s="70"/>
      <c r="C26" s="83" t="s">
        <v>84</v>
      </c>
      <c r="D26" s="83"/>
      <c r="E26" s="83"/>
      <c r="F26" s="70"/>
      <c r="I26" s="68"/>
      <c r="J26" s="68"/>
      <c r="K26" s="68"/>
    </row>
    <row r="27" spans="2:40" x14ac:dyDescent="0.25">
      <c r="B27" s="70"/>
      <c r="C27" s="69">
        <v>2013</v>
      </c>
      <c r="D27" s="69">
        <v>2014</v>
      </c>
      <c r="E27" s="69">
        <v>2015</v>
      </c>
      <c r="F27" s="70"/>
      <c r="I27" s="68"/>
      <c r="J27" s="68"/>
      <c r="K27" s="68"/>
    </row>
    <row r="28" spans="2:40" x14ac:dyDescent="0.25">
      <c r="B28" s="70"/>
      <c r="C28" s="74">
        <f>AG16/AG18</f>
        <v>1.0526315789473684</v>
      </c>
      <c r="D28" s="74">
        <f t="shared" ref="D28:E28" si="15">AH16/AH18</f>
        <v>1.0627737226277372</v>
      </c>
      <c r="E28" s="74">
        <f t="shared" si="15"/>
        <v>0.92777777777777781</v>
      </c>
      <c r="F28" s="70"/>
      <c r="I28" s="34"/>
      <c r="J28" s="34"/>
      <c r="K28" s="34"/>
    </row>
    <row r="29" spans="2:40" ht="12" customHeight="1" x14ac:dyDescent="0.25">
      <c r="B29" s="70"/>
      <c r="C29" s="71"/>
      <c r="D29" s="71"/>
      <c r="E29" s="71"/>
      <c r="F29" s="70"/>
    </row>
  </sheetData>
  <mergeCells count="40">
    <mergeCell ref="C15:E15"/>
    <mergeCell ref="C20:E20"/>
    <mergeCell ref="C25:E25"/>
    <mergeCell ref="I5:K5"/>
    <mergeCell ref="I6:K6"/>
    <mergeCell ref="I10:K10"/>
    <mergeCell ref="I11:K11"/>
    <mergeCell ref="I15:K15"/>
    <mergeCell ref="C26:E26"/>
    <mergeCell ref="O5:Q5"/>
    <mergeCell ref="O6:Q6"/>
    <mergeCell ref="O10:Q10"/>
    <mergeCell ref="O11:Q11"/>
    <mergeCell ref="O15:Q15"/>
    <mergeCell ref="O16:Q16"/>
    <mergeCell ref="I16:K16"/>
    <mergeCell ref="I20:K20"/>
    <mergeCell ref="I21:K21"/>
    <mergeCell ref="C6:E6"/>
    <mergeCell ref="C11:E11"/>
    <mergeCell ref="C16:E16"/>
    <mergeCell ref="C21:E21"/>
    <mergeCell ref="C5:E5"/>
    <mergeCell ref="C10:E10"/>
    <mergeCell ref="B3:F3"/>
    <mergeCell ref="H3:L3"/>
    <mergeCell ref="N3:R3"/>
    <mergeCell ref="T3:X3"/>
    <mergeCell ref="U5:W5"/>
    <mergeCell ref="AF3:AN3"/>
    <mergeCell ref="U10:W10"/>
    <mergeCell ref="U11:W11"/>
    <mergeCell ref="U15:W15"/>
    <mergeCell ref="U16:W16"/>
    <mergeCell ref="Z3:AD3"/>
    <mergeCell ref="AA5:AC5"/>
    <mergeCell ref="AA6:AC6"/>
    <mergeCell ref="AA10:AC10"/>
    <mergeCell ref="AA11:AC11"/>
    <mergeCell ref="U6:W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49"/>
  <sheetViews>
    <sheetView workbookViewId="0">
      <selection activeCell="N14" sqref="N14"/>
    </sheetView>
  </sheetViews>
  <sheetFormatPr defaultRowHeight="15" x14ac:dyDescent="0.25"/>
  <cols>
    <col min="1" max="1" width="9.140625" style="5"/>
    <col min="2" max="2" width="35.5703125" style="5" bestFit="1" customWidth="1"/>
    <col min="3" max="5" width="20.7109375" style="5" customWidth="1"/>
    <col min="6" max="6" width="4.42578125" style="5" customWidth="1"/>
    <col min="7" max="7" width="29.7109375" style="5" hidden="1" customWidth="1"/>
    <col min="8" max="8" width="2.7109375" style="5" hidden="1" customWidth="1"/>
    <col min="9" max="9" width="10.7109375" style="5" hidden="1" customWidth="1"/>
    <col min="10" max="10" width="2.7109375" style="5" hidden="1" customWidth="1"/>
    <col min="11" max="11" width="10.7109375" style="5" hidden="1" customWidth="1"/>
    <col min="12" max="12" width="2.7109375" style="5" hidden="1" customWidth="1"/>
    <col min="13" max="13" width="10.7109375" style="5" hidden="1" customWidth="1"/>
    <col min="14" max="14" width="10.85546875" style="5" bestFit="1" customWidth="1"/>
    <col min="15" max="19" width="9.140625" style="5"/>
    <col min="20" max="20" width="9.140625" style="5" customWidth="1"/>
    <col min="21" max="16384" width="9.140625" style="5"/>
  </cols>
  <sheetData>
    <row r="2" spans="2:22" ht="19.5" thickBot="1" x14ac:dyDescent="0.3">
      <c r="B2" s="6" t="s">
        <v>21</v>
      </c>
      <c r="C2" s="86" t="s">
        <v>22</v>
      </c>
      <c r="D2" s="86"/>
      <c r="E2" s="86"/>
    </row>
    <row r="3" spans="2:22" ht="16.5" thickBot="1" x14ac:dyDescent="0.3">
      <c r="B3" s="7"/>
      <c r="C3" s="8">
        <v>2013</v>
      </c>
      <c r="D3" s="8">
        <v>2014</v>
      </c>
      <c r="E3" s="8">
        <v>2015</v>
      </c>
      <c r="I3" s="87" t="s">
        <v>23</v>
      </c>
      <c r="J3" s="87"/>
      <c r="K3" s="87"/>
      <c r="L3" s="87"/>
      <c r="M3" s="87"/>
    </row>
    <row r="4" spans="2:22" ht="15.75" x14ac:dyDescent="0.25">
      <c r="B4" s="9" t="s">
        <v>18</v>
      </c>
      <c r="C4" s="10"/>
      <c r="D4" s="10"/>
      <c r="E4" s="10"/>
      <c r="G4" s="11"/>
      <c r="H4" s="11"/>
      <c r="I4" s="11">
        <v>2011</v>
      </c>
      <c r="J4" s="11"/>
      <c r="K4" s="11">
        <v>2012</v>
      </c>
      <c r="L4" s="11"/>
      <c r="M4" s="11">
        <v>2013</v>
      </c>
    </row>
    <row r="5" spans="2:22" ht="6.95" customHeight="1" thickBot="1" x14ac:dyDescent="0.3">
      <c r="B5" s="9"/>
      <c r="C5" s="12"/>
      <c r="D5" s="12"/>
      <c r="E5" s="12"/>
    </row>
    <row r="6" spans="2:22" ht="15.75" customHeight="1" x14ac:dyDescent="0.25">
      <c r="B6" s="13" t="s">
        <v>2</v>
      </c>
      <c r="C6" s="14"/>
      <c r="D6" s="14"/>
      <c r="E6" s="14"/>
      <c r="G6" s="13" t="s">
        <v>2</v>
      </c>
      <c r="I6" s="15">
        <f>C12/C27</f>
        <v>0.1763157894736842</v>
      </c>
      <c r="K6" s="15">
        <f>D12/D27</f>
        <v>0.30634071810542401</v>
      </c>
      <c r="M6" s="15">
        <f>E12/E27</f>
        <v>0.25</v>
      </c>
      <c r="N6" s="88" t="s">
        <v>24</v>
      </c>
      <c r="O6" s="88"/>
      <c r="P6" s="88"/>
      <c r="Q6" s="90" t="s">
        <v>25</v>
      </c>
      <c r="R6" s="90"/>
      <c r="S6" s="90"/>
      <c r="T6" s="88" t="s">
        <v>26</v>
      </c>
      <c r="U6" s="88"/>
      <c r="V6" s="88"/>
    </row>
    <row r="7" spans="2:22" ht="15.75" thickBot="1" x14ac:dyDescent="0.3">
      <c r="B7" s="16" t="s">
        <v>27</v>
      </c>
      <c r="C7" s="17">
        <v>5000</v>
      </c>
      <c r="D7" s="17">
        <v>45000</v>
      </c>
      <c r="E7" s="17">
        <v>75000</v>
      </c>
      <c r="N7" s="89"/>
      <c r="O7" s="89"/>
      <c r="P7" s="89"/>
      <c r="Q7" s="91"/>
      <c r="R7" s="91"/>
      <c r="S7" s="91"/>
      <c r="T7" s="89"/>
      <c r="U7" s="89"/>
      <c r="V7" s="89"/>
    </row>
    <row r="8" spans="2:22" ht="16.5" thickBot="1" x14ac:dyDescent="0.3">
      <c r="B8" s="16" t="s">
        <v>28</v>
      </c>
      <c r="C8" s="17">
        <v>15000</v>
      </c>
      <c r="D8" s="17">
        <v>30000</v>
      </c>
      <c r="E8" s="17">
        <v>200000</v>
      </c>
      <c r="G8" s="13" t="s">
        <v>5</v>
      </c>
      <c r="I8" s="15">
        <f>C17/C27</f>
        <v>3.4210526315789476E-2</v>
      </c>
      <c r="K8" s="15">
        <f>D17/D27</f>
        <v>0.13750954927425516</v>
      </c>
      <c r="M8" s="15">
        <f>E17/E27</f>
        <v>0.38774403470715835</v>
      </c>
      <c r="N8" s="18">
        <v>2013</v>
      </c>
      <c r="O8" s="19">
        <v>2014</v>
      </c>
      <c r="P8" s="20">
        <v>2015</v>
      </c>
      <c r="Q8" s="18">
        <v>2013</v>
      </c>
      <c r="R8" s="19">
        <v>2014</v>
      </c>
      <c r="S8" s="20">
        <v>2015</v>
      </c>
      <c r="T8" s="18">
        <v>2013</v>
      </c>
      <c r="U8" s="19">
        <v>2014</v>
      </c>
      <c r="V8" s="20">
        <v>2015</v>
      </c>
    </row>
    <row r="9" spans="2:22" ht="15.75" thickBot="1" x14ac:dyDescent="0.3">
      <c r="B9" s="16" t="s">
        <v>29</v>
      </c>
      <c r="C9" s="17">
        <v>30000</v>
      </c>
      <c r="D9" s="17">
        <v>300000</v>
      </c>
      <c r="E9" s="17">
        <v>100000</v>
      </c>
      <c r="N9" s="21">
        <f>(C35+C41)/(C12+C17+C25)</f>
        <v>0.25</v>
      </c>
      <c r="O9" s="22">
        <f>(D35+D41)/(D12+D17+D25)</f>
        <v>0.47669977081741788</v>
      </c>
      <c r="P9" s="23">
        <f>(E35+E41)/(E12+E17+E25)</f>
        <v>0.6095444685466378</v>
      </c>
      <c r="Q9" s="21">
        <f>C47/(C35+C41)</f>
        <v>3</v>
      </c>
      <c r="R9" s="22">
        <f>D47/(D35+D41)</f>
        <v>1.0977564102564104</v>
      </c>
      <c r="S9" s="23">
        <f>E47/(E35+E41)</f>
        <v>0.64056939501779364</v>
      </c>
      <c r="T9" s="24">
        <f>[1]DRE!C28/[1]DRE!C26</f>
        <v>40.68</v>
      </c>
      <c r="U9" s="25">
        <f>[1]DRE!D28/[1]DRE!D26</f>
        <v>-15.616</v>
      </c>
      <c r="V9" s="26">
        <f>[1]DRE!E28/[1]DRE!E26</f>
        <v>61.546666666666667</v>
      </c>
    </row>
    <row r="10" spans="2:22" ht="15.75" x14ac:dyDescent="0.25">
      <c r="B10" s="16" t="s">
        <v>4</v>
      </c>
      <c r="C10" s="17">
        <v>230000</v>
      </c>
      <c r="D10" s="17">
        <v>730000</v>
      </c>
      <c r="E10" s="17">
        <v>1230000</v>
      </c>
      <c r="G10" s="13" t="s">
        <v>7</v>
      </c>
      <c r="I10" s="15">
        <f>C25/C27</f>
        <v>0.78947368421052633</v>
      </c>
      <c r="K10" s="15">
        <f>D25/D27</f>
        <v>0.55614973262032086</v>
      </c>
      <c r="M10" s="15">
        <f>E25/E27</f>
        <v>0.36225596529284165</v>
      </c>
    </row>
    <row r="11" spans="2:22" x14ac:dyDescent="0.25">
      <c r="B11" s="27" t="s">
        <v>10</v>
      </c>
      <c r="C11" s="28">
        <v>55000</v>
      </c>
      <c r="D11" s="28">
        <v>900000</v>
      </c>
      <c r="E11" s="28">
        <v>700000</v>
      </c>
    </row>
    <row r="12" spans="2:22" ht="15.75" x14ac:dyDescent="0.25">
      <c r="B12" s="29" t="s">
        <v>30</v>
      </c>
      <c r="C12" s="30">
        <f>SUM(C7:C11)</f>
        <v>335000</v>
      </c>
      <c r="D12" s="30">
        <f t="shared" ref="D12:E12" si="0">SUM(D7:D11)</f>
        <v>2005000</v>
      </c>
      <c r="E12" s="30">
        <f t="shared" si="0"/>
        <v>2305000</v>
      </c>
      <c r="G12" s="31" t="s">
        <v>3</v>
      </c>
      <c r="I12" s="32">
        <f>C35/C49</f>
        <v>0.13157894736842105</v>
      </c>
      <c r="K12" s="32">
        <f>D35/D49</f>
        <v>0.17112299465240641</v>
      </c>
      <c r="M12" s="32">
        <f>E35/E49</f>
        <v>0.2299349240780911</v>
      </c>
    </row>
    <row r="13" spans="2:22" ht="6.95" customHeight="1" x14ac:dyDescent="0.25">
      <c r="B13" s="12"/>
      <c r="C13" s="12"/>
      <c r="D13" s="12"/>
      <c r="E13" s="12"/>
    </row>
    <row r="14" spans="2:22" ht="15.75" x14ac:dyDescent="0.25">
      <c r="B14" s="13" t="s">
        <v>5</v>
      </c>
      <c r="C14" s="14"/>
      <c r="D14" s="14"/>
      <c r="E14" s="14"/>
      <c r="G14" s="31" t="s">
        <v>6</v>
      </c>
      <c r="I14" s="32">
        <f>C41/C49</f>
        <v>0.11842105263157894</v>
      </c>
      <c r="K14" s="32">
        <f>D41/D49</f>
        <v>0.30557677616501144</v>
      </c>
      <c r="M14" s="32">
        <f>E41/E49</f>
        <v>0.37960954446854661</v>
      </c>
    </row>
    <row r="15" spans="2:22" x14ac:dyDescent="0.25">
      <c r="B15" s="16" t="s">
        <v>10</v>
      </c>
      <c r="C15" s="17">
        <v>40000</v>
      </c>
      <c r="D15" s="17">
        <v>900000</v>
      </c>
      <c r="E15" s="17">
        <v>2575000</v>
      </c>
    </row>
    <row r="16" spans="2:22" ht="15.75" x14ac:dyDescent="0.25">
      <c r="B16" s="27" t="s">
        <v>31</v>
      </c>
      <c r="C16" s="28">
        <v>25000</v>
      </c>
      <c r="D16" s="33">
        <v>0</v>
      </c>
      <c r="E16" s="28">
        <v>1000000</v>
      </c>
      <c r="G16" s="31" t="s">
        <v>8</v>
      </c>
      <c r="I16" s="32">
        <f>C47/C49</f>
        <v>0.75</v>
      </c>
      <c r="K16" s="32">
        <f>D47/D49</f>
        <v>0.52330022918258212</v>
      </c>
      <c r="M16" s="32">
        <f>E47/E49</f>
        <v>0.39045553145336226</v>
      </c>
      <c r="Q16" s="34"/>
      <c r="R16" s="34"/>
      <c r="S16" s="34"/>
    </row>
    <row r="17" spans="2:5" ht="15.75" x14ac:dyDescent="0.25">
      <c r="B17" s="29" t="s">
        <v>32</v>
      </c>
      <c r="C17" s="30">
        <f>SUM(C15:C16)</f>
        <v>65000</v>
      </c>
      <c r="D17" s="30">
        <f t="shared" ref="D17:E17" si="1">SUM(D15:D16)</f>
        <v>900000</v>
      </c>
      <c r="E17" s="30">
        <f t="shared" si="1"/>
        <v>3575000</v>
      </c>
    </row>
    <row r="18" spans="2:5" ht="6.95" customHeight="1" x14ac:dyDescent="0.25">
      <c r="B18" s="35"/>
      <c r="C18" s="12"/>
      <c r="D18" s="12"/>
      <c r="E18" s="12"/>
    </row>
    <row r="19" spans="2:5" ht="15.75" x14ac:dyDescent="0.25">
      <c r="B19" s="13" t="s">
        <v>7</v>
      </c>
      <c r="C19" s="14"/>
      <c r="D19" s="14"/>
      <c r="E19" s="14"/>
    </row>
    <row r="20" spans="2:5" x14ac:dyDescent="0.25">
      <c r="B20" s="16" t="s">
        <v>33</v>
      </c>
      <c r="C20" s="17">
        <v>130000</v>
      </c>
      <c r="D20" s="17">
        <v>130000</v>
      </c>
      <c r="E20" s="17">
        <v>130000</v>
      </c>
    </row>
    <row r="21" spans="2:5" x14ac:dyDescent="0.25">
      <c r="B21" s="16" t="s">
        <v>34</v>
      </c>
      <c r="C21" s="17">
        <v>140000</v>
      </c>
      <c r="D21" s="17">
        <v>130000</v>
      </c>
      <c r="E21" s="17">
        <v>330000</v>
      </c>
    </row>
    <row r="22" spans="2:5" x14ac:dyDescent="0.25">
      <c r="B22" s="16" t="s">
        <v>35</v>
      </c>
      <c r="C22" s="17">
        <v>90000</v>
      </c>
      <c r="D22" s="17">
        <v>80000</v>
      </c>
      <c r="E22" s="17">
        <v>80000</v>
      </c>
    </row>
    <row r="23" spans="2:5" x14ac:dyDescent="0.25">
      <c r="B23" s="16" t="s">
        <v>36</v>
      </c>
      <c r="C23" s="36">
        <v>0</v>
      </c>
      <c r="D23" s="17">
        <v>1800000</v>
      </c>
      <c r="E23" s="17">
        <v>1300000</v>
      </c>
    </row>
    <row r="24" spans="2:5" x14ac:dyDescent="0.25">
      <c r="B24" s="16" t="s">
        <v>37</v>
      </c>
      <c r="C24" s="17">
        <v>1140000</v>
      </c>
      <c r="D24" s="17">
        <v>1500000</v>
      </c>
      <c r="E24" s="17">
        <v>1500000</v>
      </c>
    </row>
    <row r="25" spans="2:5" ht="15.75" x14ac:dyDescent="0.25">
      <c r="B25" s="37" t="s">
        <v>38</v>
      </c>
      <c r="C25" s="38">
        <f>SUM(C20:C24)</f>
        <v>1500000</v>
      </c>
      <c r="D25" s="38">
        <f t="shared" ref="D25:E25" si="2">SUM(D20:D24)</f>
        <v>3640000</v>
      </c>
      <c r="E25" s="38">
        <f t="shared" si="2"/>
        <v>3340000</v>
      </c>
    </row>
    <row r="26" spans="2:5" ht="6.95" customHeight="1" thickBot="1" x14ac:dyDescent="0.3">
      <c r="B26" s="35"/>
      <c r="C26" s="12"/>
      <c r="D26" s="12"/>
      <c r="E26" s="12"/>
    </row>
    <row r="27" spans="2:5" ht="16.5" thickBot="1" x14ac:dyDescent="0.3">
      <c r="B27" s="39" t="s">
        <v>39</v>
      </c>
      <c r="C27" s="40">
        <f>C12+C17+C25</f>
        <v>1900000</v>
      </c>
      <c r="D27" s="40">
        <f t="shared" ref="D27:E27" si="3">D12+D17+D25</f>
        <v>6545000</v>
      </c>
      <c r="E27" s="40">
        <f t="shared" si="3"/>
        <v>9220000</v>
      </c>
    </row>
    <row r="28" spans="2:5" ht="15.75" thickBot="1" x14ac:dyDescent="0.3">
      <c r="B28" s="12"/>
      <c r="C28" s="12"/>
      <c r="D28" s="12"/>
      <c r="E28" s="12"/>
    </row>
    <row r="29" spans="2:5" ht="16.5" thickBot="1" x14ac:dyDescent="0.3">
      <c r="B29" s="41"/>
      <c r="C29" s="42">
        <v>2013</v>
      </c>
      <c r="D29" s="42">
        <v>2014</v>
      </c>
      <c r="E29" s="42">
        <v>2015</v>
      </c>
    </row>
    <row r="30" spans="2:5" ht="15.75" x14ac:dyDescent="0.25">
      <c r="B30" s="9" t="s">
        <v>19</v>
      </c>
      <c r="C30" s="12"/>
      <c r="D30" s="12"/>
      <c r="E30" s="12"/>
    </row>
    <row r="31" spans="2:5" ht="6.95" customHeight="1" x14ac:dyDescent="0.25">
      <c r="B31" s="9"/>
      <c r="C31" s="12"/>
      <c r="D31" s="12"/>
      <c r="E31" s="12"/>
    </row>
    <row r="32" spans="2:5" ht="15.75" x14ac:dyDescent="0.25">
      <c r="B32" s="31" t="s">
        <v>3</v>
      </c>
      <c r="C32" s="43"/>
      <c r="D32" s="43"/>
      <c r="E32" s="43"/>
    </row>
    <row r="33" spans="2:5" x14ac:dyDescent="0.25">
      <c r="B33" s="44" t="s">
        <v>40</v>
      </c>
      <c r="C33" s="45">
        <v>120000</v>
      </c>
      <c r="D33" s="45">
        <v>1120000</v>
      </c>
      <c r="E33" s="45">
        <v>2120000</v>
      </c>
    </row>
    <row r="34" spans="2:5" x14ac:dyDescent="0.25">
      <c r="B34" s="44" t="s">
        <v>41</v>
      </c>
      <c r="C34" s="45">
        <v>130000</v>
      </c>
      <c r="D34" s="45">
        <v>0</v>
      </c>
      <c r="E34" s="45">
        <v>0</v>
      </c>
    </row>
    <row r="35" spans="2:5" ht="15.75" x14ac:dyDescent="0.25">
      <c r="B35" s="37" t="s">
        <v>42</v>
      </c>
      <c r="C35" s="38">
        <f>SUM(C33:C34)</f>
        <v>250000</v>
      </c>
      <c r="D35" s="38">
        <f t="shared" ref="D35:E35" si="4">SUM(D33:D34)</f>
        <v>1120000</v>
      </c>
      <c r="E35" s="38">
        <f t="shared" si="4"/>
        <v>2120000</v>
      </c>
    </row>
    <row r="36" spans="2:5" ht="6.95" customHeight="1" x14ac:dyDescent="0.25">
      <c r="B36" s="35"/>
      <c r="C36" s="12"/>
      <c r="D36" s="12"/>
      <c r="E36" s="12"/>
    </row>
    <row r="37" spans="2:5" ht="15.75" x14ac:dyDescent="0.25">
      <c r="B37" s="31" t="s">
        <v>6</v>
      </c>
      <c r="C37" s="43"/>
      <c r="D37" s="43"/>
      <c r="E37" s="43"/>
    </row>
    <row r="38" spans="2:5" x14ac:dyDescent="0.25">
      <c r="B38" s="44" t="s">
        <v>41</v>
      </c>
      <c r="C38" s="45">
        <v>75000</v>
      </c>
      <c r="D38" s="45">
        <v>500000</v>
      </c>
      <c r="E38" s="45">
        <v>500000</v>
      </c>
    </row>
    <row r="39" spans="2:5" x14ac:dyDescent="0.25">
      <c r="B39" s="44" t="s">
        <v>43</v>
      </c>
      <c r="C39" s="45">
        <v>150000</v>
      </c>
      <c r="D39" s="45">
        <v>500000</v>
      </c>
      <c r="E39" s="45">
        <v>1500000</v>
      </c>
    </row>
    <row r="40" spans="2:5" x14ac:dyDescent="0.25">
      <c r="B40" s="44" t="s">
        <v>44</v>
      </c>
      <c r="C40" s="46">
        <v>0</v>
      </c>
      <c r="D40" s="45">
        <v>1000000</v>
      </c>
      <c r="E40" s="45">
        <v>1500000</v>
      </c>
    </row>
    <row r="41" spans="2:5" ht="15.75" x14ac:dyDescent="0.25">
      <c r="B41" s="37" t="s">
        <v>45</v>
      </c>
      <c r="C41" s="38">
        <f>SUM(C38:C40)</f>
        <v>225000</v>
      </c>
      <c r="D41" s="38">
        <f t="shared" ref="D41:E41" si="5">SUM(D38:D40)</f>
        <v>2000000</v>
      </c>
      <c r="E41" s="38">
        <f t="shared" si="5"/>
        <v>3500000</v>
      </c>
    </row>
    <row r="42" spans="2:5" ht="6.95" customHeight="1" x14ac:dyDescent="0.25">
      <c r="B42" s="35"/>
      <c r="C42" s="12"/>
      <c r="D42" s="12"/>
      <c r="E42" s="12"/>
    </row>
    <row r="43" spans="2:5" ht="15.75" x14ac:dyDescent="0.25">
      <c r="B43" s="31" t="s">
        <v>8</v>
      </c>
      <c r="C43" s="43"/>
      <c r="D43" s="43"/>
      <c r="E43" s="43"/>
    </row>
    <row r="44" spans="2:5" x14ac:dyDescent="0.25">
      <c r="B44" s="44" t="s">
        <v>46</v>
      </c>
      <c r="C44" s="45">
        <v>500000</v>
      </c>
      <c r="D44" s="45">
        <v>500000</v>
      </c>
      <c r="E44" s="45">
        <v>700000</v>
      </c>
    </row>
    <row r="45" spans="2:5" x14ac:dyDescent="0.25">
      <c r="B45" s="44" t="s">
        <v>47</v>
      </c>
      <c r="C45" s="45">
        <v>725000</v>
      </c>
      <c r="D45" s="45">
        <v>2725000</v>
      </c>
      <c r="E45" s="45">
        <v>2900000</v>
      </c>
    </row>
    <row r="46" spans="2:5" x14ac:dyDescent="0.25">
      <c r="B46" s="44" t="s">
        <v>48</v>
      </c>
      <c r="C46" s="45">
        <v>200000</v>
      </c>
      <c r="D46" s="45">
        <v>200000</v>
      </c>
      <c r="E46" s="45">
        <v>0</v>
      </c>
    </row>
    <row r="47" spans="2:5" ht="15.75" x14ac:dyDescent="0.25">
      <c r="B47" s="37" t="s">
        <v>49</v>
      </c>
      <c r="C47" s="38">
        <f>SUM(C44:C46)</f>
        <v>1425000</v>
      </c>
      <c r="D47" s="38">
        <f t="shared" ref="D47:E47" si="6">SUM(D44:D46)</f>
        <v>3425000</v>
      </c>
      <c r="E47" s="38">
        <f t="shared" si="6"/>
        <v>3600000</v>
      </c>
    </row>
    <row r="48" spans="2:5" ht="6.95" customHeight="1" thickBot="1" x14ac:dyDescent="0.3">
      <c r="B48" s="12"/>
      <c r="C48" s="12"/>
      <c r="D48" s="12"/>
      <c r="E48" s="12"/>
    </row>
    <row r="49" spans="2:5" ht="16.5" thickBot="1" x14ac:dyDescent="0.3">
      <c r="B49" s="47" t="s">
        <v>50</v>
      </c>
      <c r="C49" s="48">
        <f>C35+C41+C47</f>
        <v>1900000</v>
      </c>
      <c r="D49" s="48">
        <f t="shared" ref="D49:E49" si="7">D35+D41+D47</f>
        <v>6545000</v>
      </c>
      <c r="E49" s="48">
        <f t="shared" si="7"/>
        <v>9220000</v>
      </c>
    </row>
  </sheetData>
  <mergeCells count="5">
    <mergeCell ref="C2:E2"/>
    <mergeCell ref="I3:M3"/>
    <mergeCell ref="N6:P7"/>
    <mergeCell ref="Q6:S7"/>
    <mergeCell ref="T6:V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42"/>
  <sheetViews>
    <sheetView topLeftCell="A28" workbookViewId="0">
      <selection activeCell="I11" sqref="I11"/>
    </sheetView>
  </sheetViews>
  <sheetFormatPr defaultRowHeight="15" x14ac:dyDescent="0.25"/>
  <cols>
    <col min="1" max="1" width="9.140625" style="5"/>
    <col min="2" max="2" width="37" style="5" bestFit="1" customWidth="1"/>
    <col min="3" max="5" width="18.28515625" style="5" customWidth="1"/>
    <col min="6" max="6" width="4.42578125" style="5" customWidth="1"/>
    <col min="7" max="16384" width="9.140625" style="5"/>
  </cols>
  <sheetData>
    <row r="2" spans="2:5" ht="19.5" thickBot="1" x14ac:dyDescent="0.3">
      <c r="B2" s="6" t="s">
        <v>21</v>
      </c>
      <c r="C2" s="49" t="s">
        <v>51</v>
      </c>
      <c r="D2" s="49"/>
      <c r="E2" s="49"/>
    </row>
    <row r="3" spans="2:5" ht="16.5" thickBot="1" x14ac:dyDescent="0.3">
      <c r="B3" s="7"/>
      <c r="C3" s="8">
        <v>2013</v>
      </c>
      <c r="D3" s="8">
        <v>2014</v>
      </c>
      <c r="E3" s="8">
        <v>2015</v>
      </c>
    </row>
    <row r="4" spans="2:5" ht="6.95" customHeight="1" x14ac:dyDescent="0.25">
      <c r="B4" s="9"/>
      <c r="C4" s="12"/>
      <c r="D4" s="12"/>
      <c r="E4" s="12"/>
    </row>
    <row r="5" spans="2:5" ht="15.75" x14ac:dyDescent="0.25">
      <c r="B5" s="50" t="s">
        <v>13</v>
      </c>
      <c r="C5" s="51">
        <f>(C6+C7)</f>
        <v>82000</v>
      </c>
      <c r="D5" s="51">
        <f>(D6+D7)</f>
        <v>38000</v>
      </c>
      <c r="E5" s="51">
        <f>(E6+E7)</f>
        <v>96000</v>
      </c>
    </row>
    <row r="6" spans="2:5" x14ac:dyDescent="0.25">
      <c r="B6" s="16" t="s">
        <v>52</v>
      </c>
      <c r="C6" s="17">
        <f>22000*4</f>
        <v>88000</v>
      </c>
      <c r="D6" s="17">
        <f>10000*4</f>
        <v>40000</v>
      </c>
      <c r="E6" s="17">
        <f>25000*4</f>
        <v>100000</v>
      </c>
    </row>
    <row r="7" spans="2:5" x14ac:dyDescent="0.25">
      <c r="B7" s="52" t="s">
        <v>53</v>
      </c>
      <c r="C7" s="53">
        <f>-1500*4</f>
        <v>-6000</v>
      </c>
      <c r="D7" s="53">
        <f>-500*4</f>
        <v>-2000</v>
      </c>
      <c r="E7" s="53">
        <f>-1000*4</f>
        <v>-4000</v>
      </c>
    </row>
    <row r="8" spans="2:5" ht="6.95" customHeight="1" x14ac:dyDescent="0.25">
      <c r="B8" s="12"/>
      <c r="C8" s="12"/>
      <c r="D8" s="12"/>
      <c r="E8" s="12"/>
    </row>
    <row r="9" spans="2:5" ht="15.75" x14ac:dyDescent="0.25">
      <c r="B9" s="50" t="s">
        <v>54</v>
      </c>
      <c r="C9" s="51">
        <f>C10+C11</f>
        <v>22960</v>
      </c>
      <c r="D9" s="51">
        <f>D10+D11</f>
        <v>10640</v>
      </c>
      <c r="E9" s="51">
        <f>E10+E11</f>
        <v>26880</v>
      </c>
    </row>
    <row r="10" spans="2:5" ht="15" customHeight="1" x14ac:dyDescent="0.25">
      <c r="B10" s="16" t="s">
        <v>55</v>
      </c>
      <c r="C10" s="17">
        <f>C5*0.18</f>
        <v>14760</v>
      </c>
      <c r="D10" s="17">
        <f>D5*0.18</f>
        <v>6840</v>
      </c>
      <c r="E10" s="17">
        <f>E5*0.18</f>
        <v>17280</v>
      </c>
    </row>
    <row r="11" spans="2:5" ht="15" customHeight="1" x14ac:dyDescent="0.25">
      <c r="B11" s="52" t="s">
        <v>56</v>
      </c>
      <c r="C11" s="53">
        <f>C5*0.1</f>
        <v>8200</v>
      </c>
      <c r="D11" s="53">
        <f>D5*0.1</f>
        <v>3800</v>
      </c>
      <c r="E11" s="53">
        <f>E5*0.1</f>
        <v>9600</v>
      </c>
    </row>
    <row r="12" spans="2:5" ht="6.95" customHeight="1" x14ac:dyDescent="0.25">
      <c r="B12" s="35"/>
      <c r="C12" s="12"/>
      <c r="D12" s="12"/>
      <c r="E12" s="12"/>
    </row>
    <row r="13" spans="2:5" ht="15" customHeight="1" x14ac:dyDescent="0.25">
      <c r="B13" s="50" t="s">
        <v>57</v>
      </c>
      <c r="C13" s="51">
        <f>C5-C9</f>
        <v>59040</v>
      </c>
      <c r="D13" s="51">
        <f t="shared" ref="D13:E13" si="0">D5-D9</f>
        <v>27360</v>
      </c>
      <c r="E13" s="51">
        <f t="shared" si="0"/>
        <v>69120</v>
      </c>
    </row>
    <row r="14" spans="2:5" ht="6.95" customHeight="1" x14ac:dyDescent="0.25">
      <c r="B14" s="35"/>
      <c r="C14" s="12"/>
      <c r="D14" s="12"/>
      <c r="E14" s="12"/>
    </row>
    <row r="15" spans="2:5" ht="15.75" x14ac:dyDescent="0.25">
      <c r="B15" s="50" t="s">
        <v>58</v>
      </c>
      <c r="C15" s="51">
        <f>C16+C17+C18</f>
        <v>34000</v>
      </c>
      <c r="D15" s="51">
        <f t="shared" ref="D15:E15" si="1">D16+D17+D18</f>
        <v>22800</v>
      </c>
      <c r="E15" s="51">
        <f t="shared" si="1"/>
        <v>36400</v>
      </c>
    </row>
    <row r="16" spans="2:5" x14ac:dyDescent="0.25">
      <c r="B16" s="16" t="s">
        <v>59</v>
      </c>
      <c r="C16" s="17">
        <f>4300*4</f>
        <v>17200</v>
      </c>
      <c r="D16" s="17">
        <f>3100*4</f>
        <v>12400</v>
      </c>
      <c r="E16" s="17">
        <f>4500*4</f>
        <v>18000</v>
      </c>
    </row>
    <row r="17" spans="2:5" x14ac:dyDescent="0.25">
      <c r="B17" s="16" t="s">
        <v>60</v>
      </c>
      <c r="C17" s="17">
        <f>2500*4</f>
        <v>10000</v>
      </c>
      <c r="D17" s="17">
        <v>10000</v>
      </c>
      <c r="E17" s="17">
        <f>2700*4</f>
        <v>10800</v>
      </c>
    </row>
    <row r="18" spans="2:5" x14ac:dyDescent="0.25">
      <c r="B18" s="52" t="s">
        <v>61</v>
      </c>
      <c r="C18" s="53">
        <f>1700*4</f>
        <v>6800</v>
      </c>
      <c r="D18" s="53">
        <f>100*4</f>
        <v>400</v>
      </c>
      <c r="E18" s="53">
        <f>1900*4</f>
        <v>7600</v>
      </c>
    </row>
    <row r="19" spans="2:5" ht="6.95" customHeight="1" x14ac:dyDescent="0.25">
      <c r="B19" s="54"/>
      <c r="C19" s="55"/>
      <c r="D19" s="55"/>
      <c r="E19" s="55"/>
    </row>
    <row r="20" spans="2:5" ht="15.75" x14ac:dyDescent="0.25">
      <c r="B20" s="50" t="s">
        <v>12</v>
      </c>
      <c r="C20" s="51">
        <f>C13-C15</f>
        <v>25040</v>
      </c>
      <c r="D20" s="51">
        <f t="shared" ref="D20:E20" si="2">D13-D15</f>
        <v>4560</v>
      </c>
      <c r="E20" s="51">
        <f t="shared" si="2"/>
        <v>32720</v>
      </c>
    </row>
    <row r="21" spans="2:5" s="54" customFormat="1" ht="6.95" customHeight="1" x14ac:dyDescent="0.25">
      <c r="B21" s="12"/>
      <c r="C21" s="56"/>
      <c r="D21" s="56"/>
      <c r="E21" s="56"/>
    </row>
    <row r="22" spans="2:5" ht="15.75" customHeight="1" x14ac:dyDescent="0.25">
      <c r="B22" s="50" t="s">
        <v>62</v>
      </c>
      <c r="C22" s="51">
        <f>SUM(C23:C26)</f>
        <v>10802</v>
      </c>
      <c r="D22" s="51">
        <f>SUM(D23:D26)</f>
        <v>12368</v>
      </c>
      <c r="E22" s="51">
        <f>SUM(E23:E26)</f>
        <v>14256</v>
      </c>
    </row>
    <row r="23" spans="2:5" x14ac:dyDescent="0.25">
      <c r="B23" s="16" t="s">
        <v>63</v>
      </c>
      <c r="C23" s="17">
        <f>(C5-C9)*0.05</f>
        <v>2952</v>
      </c>
      <c r="D23" s="17">
        <f>(D5-D9)*0.05</f>
        <v>1368</v>
      </c>
      <c r="E23" s="17">
        <f>(E5-E9)*0.05</f>
        <v>3456</v>
      </c>
    </row>
    <row r="24" spans="2:5" x14ac:dyDescent="0.25">
      <c r="B24" s="16" t="s">
        <v>64</v>
      </c>
      <c r="C24" s="17">
        <v>3000</v>
      </c>
      <c r="D24" s="17">
        <v>6000</v>
      </c>
      <c r="E24" s="17">
        <v>6000</v>
      </c>
    </row>
    <row r="25" spans="2:5" x14ac:dyDescent="0.25">
      <c r="B25" s="16" t="s">
        <v>65</v>
      </c>
      <c r="C25" s="17">
        <v>4500</v>
      </c>
      <c r="D25" s="17">
        <v>4500</v>
      </c>
      <c r="E25" s="17">
        <v>4500</v>
      </c>
    </row>
    <row r="26" spans="2:5" x14ac:dyDescent="0.25">
      <c r="B26" s="16" t="s">
        <v>66</v>
      </c>
      <c r="C26" s="17">
        <v>350</v>
      </c>
      <c r="D26" s="17">
        <v>500</v>
      </c>
      <c r="E26" s="17">
        <v>300</v>
      </c>
    </row>
    <row r="27" spans="2:5" s="54" customFormat="1" ht="6.95" customHeight="1" x14ac:dyDescent="0.25">
      <c r="C27" s="55"/>
      <c r="D27" s="55"/>
      <c r="E27" s="55"/>
    </row>
    <row r="28" spans="2:5" ht="15.75" x14ac:dyDescent="0.25">
      <c r="B28" s="50" t="s">
        <v>14</v>
      </c>
      <c r="C28" s="51">
        <f>C20-C22</f>
        <v>14238</v>
      </c>
      <c r="D28" s="51">
        <f t="shared" ref="D28:E28" si="3">D20-D22</f>
        <v>-7808</v>
      </c>
      <c r="E28" s="51">
        <f t="shared" si="3"/>
        <v>18464</v>
      </c>
    </row>
    <row r="29" spans="2:5" s="54" customFormat="1" ht="6.95" customHeight="1" x14ac:dyDescent="0.25">
      <c r="B29" s="12"/>
      <c r="C29" s="56"/>
      <c r="D29" s="56"/>
      <c r="E29" s="56"/>
    </row>
    <row r="30" spans="2:5" ht="15.75" x14ac:dyDescent="0.25">
      <c r="B30" s="50" t="s">
        <v>67</v>
      </c>
      <c r="C30" s="51">
        <f>C31+C32</f>
        <v>2000</v>
      </c>
      <c r="D30" s="51">
        <f t="shared" ref="D30:E30" si="4">D31+D32</f>
        <v>12000</v>
      </c>
      <c r="E30" s="51">
        <f t="shared" si="4"/>
        <v>2000</v>
      </c>
    </row>
    <row r="31" spans="2:5" x14ac:dyDescent="0.25">
      <c r="B31" s="16" t="s">
        <v>68</v>
      </c>
      <c r="C31" s="17">
        <v>0</v>
      </c>
      <c r="D31" s="17">
        <v>10000</v>
      </c>
      <c r="E31" s="17">
        <v>0</v>
      </c>
    </row>
    <row r="32" spans="2:5" x14ac:dyDescent="0.25">
      <c r="B32" s="16" t="s">
        <v>69</v>
      </c>
      <c r="C32" s="17">
        <v>2000</v>
      </c>
      <c r="D32" s="17">
        <v>2000</v>
      </c>
      <c r="E32" s="17">
        <v>2000</v>
      </c>
    </row>
    <row r="33" spans="2:5" s="54" customFormat="1" ht="6.95" customHeight="1" x14ac:dyDescent="0.25">
      <c r="B33" s="12"/>
      <c r="C33" s="56"/>
      <c r="D33" s="56"/>
      <c r="E33" s="56"/>
    </row>
    <row r="34" spans="2:5" ht="15.75" x14ac:dyDescent="0.25">
      <c r="B34" s="50" t="s">
        <v>70</v>
      </c>
      <c r="C34" s="51">
        <f>C35+C36</f>
        <v>1600</v>
      </c>
      <c r="D34" s="51">
        <f t="shared" ref="D34:E34" si="5">D35+D36</f>
        <v>1550</v>
      </c>
      <c r="E34" s="51">
        <f t="shared" si="5"/>
        <v>1600</v>
      </c>
    </row>
    <row r="35" spans="2:5" x14ac:dyDescent="0.25">
      <c r="B35" s="16" t="s">
        <v>71</v>
      </c>
      <c r="C35" s="17">
        <v>100</v>
      </c>
      <c r="D35" s="17">
        <v>50</v>
      </c>
      <c r="E35" s="17">
        <v>100</v>
      </c>
    </row>
    <row r="36" spans="2:5" x14ac:dyDescent="0.25">
      <c r="B36" s="16" t="s">
        <v>72</v>
      </c>
      <c r="C36" s="17">
        <v>1500</v>
      </c>
      <c r="D36" s="17">
        <v>1500</v>
      </c>
      <c r="E36" s="17">
        <v>1500</v>
      </c>
    </row>
    <row r="37" spans="2:5" s="54" customFormat="1" ht="6.95" customHeight="1" x14ac:dyDescent="0.25">
      <c r="B37" s="12"/>
      <c r="C37" s="56"/>
      <c r="D37" s="56"/>
      <c r="E37" s="56"/>
    </row>
    <row r="38" spans="2:5" ht="15.75" x14ac:dyDescent="0.25">
      <c r="B38" s="50" t="s">
        <v>73</v>
      </c>
      <c r="C38" s="51">
        <f>C28+C30-C34</f>
        <v>14638</v>
      </c>
      <c r="D38" s="51">
        <f t="shared" ref="D38:E38" si="6">D28+D30-D34</f>
        <v>2642</v>
      </c>
      <c r="E38" s="51">
        <f t="shared" si="6"/>
        <v>18864</v>
      </c>
    </row>
    <row r="39" spans="2:5" s="54" customFormat="1" ht="6.95" customHeight="1" x14ac:dyDescent="0.25">
      <c r="B39" s="12"/>
      <c r="C39" s="56"/>
      <c r="D39" s="56"/>
      <c r="E39" s="56"/>
    </row>
    <row r="40" spans="2:5" ht="15.75" x14ac:dyDescent="0.25">
      <c r="B40" s="50" t="s">
        <v>74</v>
      </c>
      <c r="C40" s="57">
        <f>C38*0.3</f>
        <v>4391.3999999999996</v>
      </c>
      <c r="D40" s="57">
        <f t="shared" ref="D40:E40" si="7">D38*0.3</f>
        <v>792.6</v>
      </c>
      <c r="E40" s="57">
        <f t="shared" si="7"/>
        <v>5659.2</v>
      </c>
    </row>
    <row r="41" spans="2:5" s="54" customFormat="1" ht="6.95" customHeight="1" x14ac:dyDescent="0.25">
      <c r="B41" s="12"/>
      <c r="C41" s="56"/>
      <c r="D41" s="56"/>
      <c r="E41" s="56"/>
    </row>
    <row r="42" spans="2:5" ht="15.75" x14ac:dyDescent="0.25">
      <c r="B42" s="50" t="s">
        <v>15</v>
      </c>
      <c r="C42" s="57">
        <f>C38-C40</f>
        <v>10246.6</v>
      </c>
      <c r="D42" s="57">
        <f t="shared" ref="D42:E42" si="8">D38-D40</f>
        <v>1849.4</v>
      </c>
      <c r="E42" s="57">
        <f t="shared" si="8"/>
        <v>13204.8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2"/>
  <sheetViews>
    <sheetView tabSelected="1" zoomScaleNormal="100" workbookViewId="0">
      <selection activeCell="C5" sqref="C5"/>
    </sheetView>
  </sheetViews>
  <sheetFormatPr defaultRowHeight="15" x14ac:dyDescent="0.25"/>
  <cols>
    <col min="1" max="1" width="1.5703125" customWidth="1"/>
    <col min="2" max="2" width="31" bestFit="1" customWidth="1"/>
    <col min="3" max="5" width="15.28515625" bestFit="1" customWidth="1"/>
    <col min="6" max="6" width="3" customWidth="1"/>
    <col min="7" max="7" width="32.140625" customWidth="1"/>
    <col min="8" max="8" width="15" bestFit="1" customWidth="1"/>
    <col min="9" max="10" width="16.7109375" bestFit="1" customWidth="1"/>
  </cols>
  <sheetData>
    <row r="2" spans="2:10" ht="21.75" customHeight="1" x14ac:dyDescent="0.25">
      <c r="B2" s="82" t="s">
        <v>17</v>
      </c>
      <c r="C2" s="82"/>
      <c r="D2" s="82"/>
      <c r="E2" s="82"/>
      <c r="F2" s="82"/>
      <c r="G2" s="82"/>
      <c r="H2" s="82"/>
      <c r="I2" s="82"/>
      <c r="J2" s="82"/>
    </row>
    <row r="3" spans="2:10" x14ac:dyDescent="0.25">
      <c r="B3" s="2"/>
      <c r="C3" s="4">
        <v>2013</v>
      </c>
      <c r="D3" s="4">
        <v>2014</v>
      </c>
      <c r="E3" s="4">
        <v>2015</v>
      </c>
      <c r="F3" s="60"/>
      <c r="G3" s="3"/>
      <c r="H3" s="4">
        <v>2013</v>
      </c>
      <c r="I3" s="4">
        <v>2014</v>
      </c>
      <c r="J3" s="4">
        <v>2015</v>
      </c>
    </row>
    <row r="4" spans="2:10" s="59" customFormat="1" x14ac:dyDescent="0.25">
      <c r="B4" s="62"/>
      <c r="C4" s="60"/>
      <c r="D4" s="60"/>
      <c r="E4" s="60"/>
      <c r="F4" s="60"/>
      <c r="G4" s="60"/>
      <c r="H4" s="60"/>
      <c r="I4" s="60"/>
      <c r="J4" s="60"/>
    </row>
    <row r="5" spans="2:10" x14ac:dyDescent="0.25">
      <c r="B5" s="58" t="s">
        <v>2</v>
      </c>
      <c r="C5" s="65">
        <f>'Balanço Patrimonial'!C12</f>
        <v>335000</v>
      </c>
      <c r="D5" s="65">
        <f>'Balanço Patrimonial'!D12</f>
        <v>2005000</v>
      </c>
      <c r="E5" s="65">
        <f>'Balanço Patrimonial'!E12</f>
        <v>2305000</v>
      </c>
      <c r="F5" s="59"/>
      <c r="G5" s="58" t="s">
        <v>20</v>
      </c>
      <c r="H5" s="63">
        <f>'Balanço Patrimonial'!C11+'Balanço Patrimonial'!C15</f>
        <v>95000</v>
      </c>
      <c r="I5" s="63">
        <f>'Balanço Patrimonial'!D11+'Balanço Patrimonial'!D15</f>
        <v>1800000</v>
      </c>
      <c r="J5" s="63">
        <f>'Balanço Patrimonial'!E11+'Balanço Patrimonial'!E15</f>
        <v>3275000</v>
      </c>
    </row>
    <row r="6" spans="2:10" x14ac:dyDescent="0.25">
      <c r="B6" s="59"/>
      <c r="C6" s="66"/>
      <c r="D6" s="66"/>
      <c r="E6" s="66"/>
      <c r="G6" s="59"/>
      <c r="H6" s="64"/>
      <c r="I6" s="64"/>
      <c r="J6" s="64"/>
    </row>
    <row r="7" spans="2:10" x14ac:dyDescent="0.25">
      <c r="B7" s="58" t="s">
        <v>3</v>
      </c>
      <c r="C7" s="67">
        <f>'Balanço Patrimonial'!C35</f>
        <v>250000</v>
      </c>
      <c r="D7" s="67">
        <f>'Balanço Patrimonial'!D35</f>
        <v>1120000</v>
      </c>
      <c r="E7" s="67">
        <f>'Balanço Patrimonial'!E35</f>
        <v>2120000</v>
      </c>
      <c r="F7" s="61"/>
      <c r="G7" s="58" t="s">
        <v>11</v>
      </c>
      <c r="H7" s="63">
        <f>DRE!C13</f>
        <v>59040</v>
      </c>
      <c r="I7" s="63">
        <f>DRE!D13</f>
        <v>27360</v>
      </c>
      <c r="J7" s="63">
        <f>DRE!E13</f>
        <v>69120</v>
      </c>
    </row>
    <row r="8" spans="2:10" x14ac:dyDescent="0.25">
      <c r="B8" s="59"/>
      <c r="C8" s="66"/>
      <c r="D8" s="66"/>
      <c r="E8" s="66"/>
      <c r="G8" s="59"/>
      <c r="H8" s="64"/>
      <c r="I8" s="64"/>
      <c r="J8" s="64"/>
    </row>
    <row r="9" spans="2:10" x14ac:dyDescent="0.25">
      <c r="B9" s="58" t="s">
        <v>4</v>
      </c>
      <c r="C9" s="65">
        <f>'Balanço Patrimonial'!C10</f>
        <v>230000</v>
      </c>
      <c r="D9" s="65">
        <f>'Balanço Patrimonial'!D10</f>
        <v>730000</v>
      </c>
      <c r="E9" s="65">
        <f>'Balanço Patrimonial'!E10</f>
        <v>1230000</v>
      </c>
      <c r="F9" s="59"/>
      <c r="G9" s="58" t="s">
        <v>75</v>
      </c>
      <c r="H9" s="63">
        <f>'Balanço Patrimonial'!C35+'Balanço Patrimonial'!C41</f>
        <v>475000</v>
      </c>
      <c r="I9" s="63">
        <f>'Balanço Patrimonial'!D35+'Balanço Patrimonial'!D41</f>
        <v>3120000</v>
      </c>
      <c r="J9" s="63">
        <f>'Balanço Patrimonial'!E35+'Balanço Patrimonial'!E41</f>
        <v>5620000</v>
      </c>
    </row>
    <row r="10" spans="2:10" x14ac:dyDescent="0.25">
      <c r="B10" s="59"/>
      <c r="C10" s="66"/>
      <c r="D10" s="66"/>
      <c r="E10" s="66"/>
      <c r="G10" s="59"/>
      <c r="H10" s="64"/>
      <c r="I10" s="64"/>
      <c r="J10" s="64"/>
    </row>
    <row r="11" spans="2:10" x14ac:dyDescent="0.25">
      <c r="B11" s="58" t="s">
        <v>5</v>
      </c>
      <c r="C11" s="65">
        <f>'Balanço Patrimonial'!C17</f>
        <v>65000</v>
      </c>
      <c r="D11" s="65">
        <f>'Balanço Patrimonial'!D17</f>
        <v>900000</v>
      </c>
      <c r="E11" s="65">
        <f>'Balanço Patrimonial'!E17</f>
        <v>3575000</v>
      </c>
      <c r="F11" s="59"/>
      <c r="G11" s="58" t="s">
        <v>12</v>
      </c>
      <c r="H11" s="63">
        <f>DRE!C20</f>
        <v>25040</v>
      </c>
      <c r="I11" s="63">
        <f>DRE!D20</f>
        <v>4560</v>
      </c>
      <c r="J11" s="63">
        <f>DRE!E20</f>
        <v>32720</v>
      </c>
    </row>
    <row r="12" spans="2:10" x14ac:dyDescent="0.25">
      <c r="B12" s="59"/>
      <c r="C12" s="66"/>
      <c r="D12" s="66"/>
      <c r="E12" s="66"/>
      <c r="G12" s="59"/>
      <c r="H12" s="64"/>
      <c r="I12" s="64"/>
      <c r="J12" s="64"/>
    </row>
    <row r="13" spans="2:10" x14ac:dyDescent="0.25">
      <c r="B13" s="58" t="s">
        <v>6</v>
      </c>
      <c r="C13" s="65">
        <f>'Balanço Patrimonial'!C41</f>
        <v>225000</v>
      </c>
      <c r="D13" s="65">
        <f>'Balanço Patrimonial'!D41</f>
        <v>2000000</v>
      </c>
      <c r="E13" s="65">
        <f>'Balanço Patrimonial'!E41</f>
        <v>3500000</v>
      </c>
      <c r="F13" s="59"/>
      <c r="G13" s="58" t="s">
        <v>13</v>
      </c>
      <c r="H13" s="63">
        <f>DRE!C5</f>
        <v>82000</v>
      </c>
      <c r="I13" s="63">
        <f>DRE!D5</f>
        <v>38000</v>
      </c>
      <c r="J13" s="63">
        <f>DRE!E5</f>
        <v>96000</v>
      </c>
    </row>
    <row r="14" spans="2:10" x14ac:dyDescent="0.25">
      <c r="B14" s="59"/>
      <c r="C14" s="66"/>
      <c r="D14" s="66"/>
      <c r="E14" s="66"/>
      <c r="G14" s="59"/>
      <c r="H14" s="64"/>
      <c r="I14" s="64"/>
      <c r="J14" s="64"/>
    </row>
    <row r="15" spans="2:10" x14ac:dyDescent="0.25">
      <c r="B15" s="58" t="s">
        <v>7</v>
      </c>
      <c r="C15" s="65">
        <f>'Balanço Patrimonial'!C25</f>
        <v>1500000</v>
      </c>
      <c r="D15" s="65">
        <f>'Balanço Patrimonial'!D25</f>
        <v>3640000</v>
      </c>
      <c r="E15" s="65">
        <f>'Balanço Patrimonial'!E25</f>
        <v>3340000</v>
      </c>
      <c r="F15" s="59"/>
      <c r="G15" s="58" t="s">
        <v>14</v>
      </c>
      <c r="H15" s="63">
        <f>DRE!C28</f>
        <v>14238</v>
      </c>
      <c r="I15" s="63">
        <f>DRE!D28</f>
        <v>-7808</v>
      </c>
      <c r="J15" s="63">
        <f>DRE!E28</f>
        <v>18464</v>
      </c>
    </row>
    <row r="16" spans="2:10" x14ac:dyDescent="0.25">
      <c r="B16" s="59"/>
      <c r="C16" s="66"/>
      <c r="D16" s="66"/>
      <c r="E16" s="66"/>
      <c r="G16" s="59"/>
      <c r="H16" s="64"/>
      <c r="I16" s="64"/>
      <c r="J16" s="64"/>
    </row>
    <row r="17" spans="2:10" x14ac:dyDescent="0.25">
      <c r="B17" s="58" t="s">
        <v>8</v>
      </c>
      <c r="C17" s="65">
        <f>'Balanço Patrimonial'!C47</f>
        <v>1425000</v>
      </c>
      <c r="D17" s="65">
        <f>'Balanço Patrimonial'!D47</f>
        <v>3425000</v>
      </c>
      <c r="E17" s="65">
        <f>'Balanço Patrimonial'!E47</f>
        <v>3600000</v>
      </c>
      <c r="F17" s="59"/>
      <c r="G17" s="58" t="s">
        <v>15</v>
      </c>
      <c r="H17" s="63">
        <f>DRE!C42</f>
        <v>10246.6</v>
      </c>
      <c r="I17" s="63">
        <f>DRE!D42</f>
        <v>1849.4</v>
      </c>
      <c r="J17" s="63">
        <f>DRE!E42</f>
        <v>13204.8</v>
      </c>
    </row>
    <row r="18" spans="2:10" x14ac:dyDescent="0.25">
      <c r="B18" s="59"/>
      <c r="C18" s="66"/>
      <c r="D18" s="66"/>
      <c r="E18" s="66"/>
      <c r="G18" s="59"/>
      <c r="H18" s="64"/>
      <c r="I18" s="64"/>
      <c r="J18" s="64"/>
    </row>
    <row r="19" spans="2:10" x14ac:dyDescent="0.25">
      <c r="B19" s="58" t="s">
        <v>9</v>
      </c>
      <c r="C19" s="65">
        <f>DRE!C15</f>
        <v>34000</v>
      </c>
      <c r="D19" s="65">
        <f>DRE!D15</f>
        <v>22800</v>
      </c>
      <c r="E19" s="65">
        <f>DRE!E15</f>
        <v>36400</v>
      </c>
      <c r="F19" s="59"/>
      <c r="G19" s="58" t="s">
        <v>16</v>
      </c>
      <c r="H19" s="63">
        <f>DRE!C26</f>
        <v>350</v>
      </c>
      <c r="I19" s="63">
        <f>DRE!D26</f>
        <v>500</v>
      </c>
      <c r="J19" s="63">
        <f>DRE!E26</f>
        <v>300</v>
      </c>
    </row>
    <row r="22" spans="2:10" x14ac:dyDescent="0.25">
      <c r="B22" s="1"/>
    </row>
  </sheetData>
  <mergeCells count="1">
    <mergeCell ref="B2:J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Cálculos Indicadores</vt:lpstr>
      <vt:lpstr>Balanço Patrimonial</vt:lpstr>
      <vt:lpstr>DRE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Garcia</dc:creator>
  <cp:lastModifiedBy>telmo souza</cp:lastModifiedBy>
  <dcterms:created xsi:type="dcterms:W3CDTF">2016-06-23T10:20:26Z</dcterms:created>
  <dcterms:modified xsi:type="dcterms:W3CDTF">2022-11-23T14:25:28Z</dcterms:modified>
</cp:coreProperties>
</file>